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 codeName="{4AEB4F63-F33D-04DF-ECAF-5796C6CBFC7C}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абота\НИКом\ПРОИЗВОДСТВО\ЦЕНЫ\ЦЕНЫ ЩУ-П НИКОМ\ПРАЙСЫ\ЩУ-П для клапанов\"/>
    </mc:Choice>
  </mc:AlternateContent>
  <xr:revisionPtr revIDLastSave="0" documentId="13_ncr:1_{C966D9AC-4FBF-489E-A3E0-D3761A4D731B}" xr6:coauthVersionLast="45" xr6:coauthVersionMax="45" xr10:uidLastSave="{00000000-0000-0000-0000-000000000000}"/>
  <workbookProtection workbookAlgorithmName="SHA-512" workbookHashValue="XBqkD9MwDAqxGn8sHYkAAdKaQYaX9lh1raDgFwxRrmIQl84pOaP4I8Hbyr3bJeVcBGDxAuGh6Hpz5WXrrTx0qA==" workbookSaltValue="E8StIyTGoknvMaRkLX629w==" workbookSpinCount="100000" lockStructure="1"/>
  <bookViews>
    <workbookView xWindow="-120" yWindow="-120" windowWidth="29040" windowHeight="15840" xr2:uid="{00000000-000D-0000-FFFF-FFFF00000000}"/>
  </bookViews>
  <sheets>
    <sheet name="Изделие" sheetId="1" r:id="rId1"/>
    <sheet name="Расёты" sheetId="2" state="hidden" r:id="rId2"/>
  </sheets>
  <externalReferences>
    <externalReference r:id="rId3"/>
    <externalReference r:id="rId4"/>
    <externalReference r:id="rId5"/>
  </externalReferenc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" i="2" l="1"/>
  <c r="E21" i="2" s="1"/>
  <c r="A13" i="1"/>
  <c r="A12" i="1"/>
  <c r="A11" i="1"/>
  <c r="A10" i="1"/>
  <c r="A9" i="1"/>
  <c r="A8" i="1"/>
  <c r="AB19" i="2"/>
  <c r="P7" i="2"/>
  <c r="H19" i="2"/>
  <c r="F19" i="2"/>
  <c r="F25" i="2" l="1"/>
  <c r="F24" i="2"/>
  <c r="F23" i="2"/>
  <c r="L19" i="2"/>
  <c r="G19" i="2" l="1"/>
  <c r="R7" i="2" l="1"/>
  <c r="J19" i="2"/>
  <c r="F36" i="2" l="1"/>
  <c r="V45" i="2"/>
  <c r="W45" i="2"/>
  <c r="X45" i="2"/>
  <c r="J49" i="2" l="1"/>
  <c r="J47" i="2"/>
  <c r="I46" i="2"/>
  <c r="H46" i="2"/>
  <c r="J45" i="2"/>
  <c r="J48" i="2"/>
  <c r="Y45" i="2" l="1"/>
  <c r="L62" i="2" l="1"/>
  <c r="L61" i="2"/>
  <c r="L60" i="2"/>
  <c r="L53" i="2"/>
  <c r="L52" i="2"/>
  <c r="D30" i="2" l="1"/>
  <c r="A17" i="1"/>
  <c r="Z20" i="2"/>
  <c r="Z2" i="2" l="1"/>
  <c r="Z21" i="2"/>
  <c r="A30" i="2"/>
  <c r="B30" i="2" s="1"/>
  <c r="Z19" i="2"/>
  <c r="V1" i="2"/>
  <c r="W2" i="2"/>
  <c r="V2" i="2" s="1"/>
  <c r="N7" i="2"/>
  <c r="N19" i="2" s="1"/>
  <c r="X20" i="2"/>
  <c r="A7" i="1"/>
  <c r="V19" i="2" l="1"/>
  <c r="N10" i="2"/>
  <c r="R10" i="2" s="1"/>
  <c r="C29" i="2"/>
  <c r="C24" i="1" s="1"/>
  <c r="X16" i="2"/>
  <c r="X11" i="2"/>
  <c r="X15" i="2"/>
  <c r="X14" i="2"/>
  <c r="X13" i="2"/>
  <c r="H32" i="2"/>
  <c r="F46" i="2" s="1"/>
  <c r="N8" i="2"/>
  <c r="R8" i="2" s="1"/>
  <c r="N9" i="2"/>
  <c r="N11" i="2"/>
  <c r="R11" i="2" s="1"/>
  <c r="N12" i="2"/>
  <c r="R12" i="2" s="1"/>
  <c r="B51" i="2"/>
  <c r="X19" i="2" l="1"/>
  <c r="T19" i="2" s="1"/>
  <c r="E54" i="2"/>
  <c r="L54" i="2" s="1"/>
  <c r="E71" i="2"/>
  <c r="AZ33" i="2" s="1"/>
  <c r="C126" i="2" s="1"/>
  <c r="N20" i="2"/>
  <c r="R9" i="2"/>
  <c r="U39" i="2"/>
  <c r="T39" i="2"/>
  <c r="S39" i="2"/>
  <c r="P39" i="2"/>
  <c r="BE34" i="2"/>
  <c r="D128" i="2" s="1"/>
  <c r="BD34" i="2"/>
  <c r="B128" i="2" s="1"/>
  <c r="BD33" i="2"/>
  <c r="C128" i="2" s="1"/>
  <c r="BB34" i="2"/>
  <c r="B127" i="2" s="1"/>
  <c r="BB33" i="2"/>
  <c r="C127" i="2" s="1"/>
  <c r="AZ34" i="2"/>
  <c r="B126" i="2" s="1"/>
  <c r="AX34" i="2"/>
  <c r="B125" i="2" s="1"/>
  <c r="AV34" i="2"/>
  <c r="B124" i="2" s="1"/>
  <c r="AT34" i="2"/>
  <c r="AR34" i="2"/>
  <c r="AP34" i="2"/>
  <c r="B120" i="2" s="1"/>
  <c r="AN34" i="2"/>
  <c r="AL34" i="2"/>
  <c r="AJ34" i="2"/>
  <c r="AH34" i="2"/>
  <c r="AH33" i="2"/>
  <c r="C117" i="2" s="1"/>
  <c r="AF33" i="2"/>
  <c r="C116" i="2" s="1"/>
  <c r="AF34" i="2"/>
  <c r="AD33" i="2"/>
  <c r="C115" i="2" s="1"/>
  <c r="AD34" i="2"/>
  <c r="E128" i="2" l="1"/>
  <c r="Z53" i="2"/>
  <c r="Y53" i="2"/>
  <c r="X53" i="2"/>
  <c r="W53" i="2"/>
  <c r="V53" i="2"/>
  <c r="U53" i="2"/>
  <c r="T53" i="2"/>
  <c r="S53" i="2"/>
  <c r="R53" i="2"/>
  <c r="AR53" i="2" l="1"/>
  <c r="AQ53" i="2"/>
  <c r="AP53" i="2"/>
  <c r="AO53" i="2"/>
  <c r="AN53" i="2"/>
  <c r="AM53" i="2"/>
  <c r="AL53" i="2"/>
  <c r="AK53" i="2"/>
  <c r="AJ53" i="2"/>
  <c r="AI53" i="2"/>
  <c r="AH53" i="2"/>
  <c r="J69" i="2" l="1"/>
  <c r="AW34" i="2" s="1"/>
  <c r="D124" i="2" s="1"/>
  <c r="J68" i="2"/>
  <c r="AU34" i="2" s="1"/>
  <c r="J70" i="2"/>
  <c r="AY34" i="2" s="1"/>
  <c r="D125" i="2" s="1"/>
  <c r="J67" i="2"/>
  <c r="AS34" i="2" s="1"/>
  <c r="J66" i="2"/>
  <c r="AQ34" i="2" s="1"/>
  <c r="J65" i="2"/>
  <c r="AO34" i="2" s="1"/>
  <c r="J64" i="2"/>
  <c r="AM34" i="2" s="1"/>
  <c r="J63" i="2"/>
  <c r="AK34" i="2" s="1"/>
  <c r="J62" i="2"/>
  <c r="J61" i="2"/>
  <c r="J60" i="2"/>
  <c r="J59" i="2"/>
  <c r="AC34" i="2" s="1"/>
  <c r="B59" i="2"/>
  <c r="AB34" i="2" s="1"/>
  <c r="J58" i="2"/>
  <c r="AA34" i="2" s="1"/>
  <c r="B58" i="2"/>
  <c r="Z34" i="2" s="1"/>
  <c r="J57" i="2"/>
  <c r="Y34" i="2" s="1"/>
  <c r="D110" i="2" s="1"/>
  <c r="B57" i="2"/>
  <c r="X34" i="2" s="1"/>
  <c r="J56" i="2"/>
  <c r="W34" i="2" s="1"/>
  <c r="D109" i="2" s="1"/>
  <c r="E56" i="2"/>
  <c r="B56" i="2"/>
  <c r="V34" i="2" s="1"/>
  <c r="J55" i="2"/>
  <c r="U34" i="2" s="1"/>
  <c r="D108" i="2" s="1"/>
  <c r="E55" i="2"/>
  <c r="L55" i="2" s="1"/>
  <c r="B55" i="2"/>
  <c r="T34" i="2" s="1"/>
  <c r="J54" i="2"/>
  <c r="K54" i="2" s="1"/>
  <c r="B54" i="2"/>
  <c r="R34" i="2" s="1"/>
  <c r="P33" i="2"/>
  <c r="C101" i="2" s="1"/>
  <c r="N33" i="2"/>
  <c r="C100" i="2" s="1"/>
  <c r="J50" i="2"/>
  <c r="V33" i="2" l="1"/>
  <c r="C109" i="2" s="1"/>
  <c r="E109" i="2" s="1"/>
  <c r="L56" i="2"/>
  <c r="K60" i="2"/>
  <c r="AE34" i="2"/>
  <c r="K61" i="2"/>
  <c r="AG34" i="2"/>
  <c r="K62" i="2"/>
  <c r="AI34" i="2"/>
  <c r="S34" i="2"/>
  <c r="D102" i="2" s="1"/>
  <c r="K55" i="2"/>
  <c r="K56" i="2"/>
  <c r="J53" i="2" l="1"/>
  <c r="D53" i="2"/>
  <c r="B53" i="2"/>
  <c r="N34" i="2" l="1"/>
  <c r="P34" i="2"/>
  <c r="K53" i="2"/>
  <c r="Q34" i="2"/>
  <c r="D101" i="2" s="1"/>
  <c r="E101" i="2" s="1"/>
  <c r="L79" i="2" l="1"/>
  <c r="M62" i="2"/>
  <c r="L81" i="2" s="1"/>
  <c r="K73" i="2"/>
  <c r="J72" i="2"/>
  <c r="J71" i="2"/>
  <c r="W50" i="2"/>
  <c r="W48" i="2"/>
  <c r="W47" i="2"/>
  <c r="U45" i="2"/>
  <c r="T45" i="2"/>
  <c r="S45" i="2"/>
  <c r="D28" i="2"/>
  <c r="V20" i="2"/>
  <c r="T20" i="2"/>
  <c r="J20" i="2"/>
  <c r="G20" i="2"/>
  <c r="D23" i="2" s="1"/>
  <c r="E66" i="2" l="1"/>
  <c r="L66" i="2" s="1"/>
  <c r="I41" i="2"/>
  <c r="V21" i="2"/>
  <c r="N53" i="2" s="1"/>
  <c r="K71" i="2"/>
  <c r="BA34" i="2"/>
  <c r="D126" i="2" s="1"/>
  <c r="E126" i="2" s="1"/>
  <c r="K72" i="2"/>
  <c r="BC34" i="2"/>
  <c r="D127" i="2" s="1"/>
  <c r="E127" i="2" s="1"/>
  <c r="D24" i="2"/>
  <c r="A25" i="2"/>
  <c r="O43" i="2"/>
  <c r="F51" i="2" s="1"/>
  <c r="A27" i="2"/>
  <c r="A28" i="2"/>
  <c r="B28" i="2" s="1"/>
  <c r="L76" i="2"/>
  <c r="B27" i="2" l="1"/>
  <c r="I39" i="2" s="1"/>
  <c r="AP33" i="2"/>
  <c r="C121" i="2" s="1"/>
  <c r="C25" i="2"/>
  <c r="I36" i="2" s="1"/>
  <c r="C26" i="1"/>
  <c r="E65" i="2"/>
  <c r="L65" i="2" s="1"/>
  <c r="E67" i="2"/>
  <c r="L67" i="2" s="1"/>
  <c r="I40" i="2"/>
  <c r="C25" i="1" s="1"/>
  <c r="K66" i="2"/>
  <c r="D51" i="2"/>
  <c r="O70" i="2"/>
  <c r="F70" i="2" s="1"/>
  <c r="E64" i="2"/>
  <c r="L64" i="2" s="1"/>
  <c r="G63" i="2"/>
  <c r="F63" i="2"/>
  <c r="D52" i="2"/>
  <c r="O69" i="2"/>
  <c r="O68" i="2"/>
  <c r="I37" i="2"/>
  <c r="R33" i="2"/>
  <c r="C102" i="2" s="1"/>
  <c r="E102" i="2" s="1"/>
  <c r="L20" i="2"/>
  <c r="E70" i="2" l="1"/>
  <c r="AX33" i="2" s="1"/>
  <c r="C125" i="2" s="1"/>
  <c r="E125" i="2" s="1"/>
  <c r="I47" i="2"/>
  <c r="I49" i="2"/>
  <c r="H49" i="2" s="1"/>
  <c r="E63" i="2"/>
  <c r="AR33" i="2"/>
  <c r="C122" i="2" s="1"/>
  <c r="K67" i="2"/>
  <c r="F69" i="2"/>
  <c r="B52" i="2"/>
  <c r="J52" i="2"/>
  <c r="J51" i="2"/>
  <c r="F68" i="2"/>
  <c r="E68" i="2" s="1"/>
  <c r="AT33" i="2" s="1"/>
  <c r="C123" i="2" s="1"/>
  <c r="K65" i="2"/>
  <c r="AN33" i="2"/>
  <c r="C120" i="2" s="1"/>
  <c r="AL33" i="2"/>
  <c r="C119" i="2" s="1"/>
  <c r="K64" i="2"/>
  <c r="A18" i="1"/>
  <c r="K63" i="2" l="1"/>
  <c r="L63" i="2"/>
  <c r="K70" i="2"/>
  <c r="E69" i="2"/>
  <c r="AV33" i="2" s="1"/>
  <c r="C124" i="2" s="1"/>
  <c r="E124" i="2" s="1"/>
  <c r="H47" i="2"/>
  <c r="G47" i="2" s="1"/>
  <c r="F47" i="2" s="1"/>
  <c r="E47" i="2" s="1"/>
  <c r="I48" i="2"/>
  <c r="C48" i="2" s="1"/>
  <c r="F48" i="2" s="1"/>
  <c r="G49" i="2"/>
  <c r="F49" i="2" s="1"/>
  <c r="K68" i="2"/>
  <c r="AJ33" i="2"/>
  <c r="C118" i="2" s="1"/>
  <c r="K52" i="2"/>
  <c r="O34" i="2"/>
  <c r="D100" i="2" s="1"/>
  <c r="E100" i="2" s="1"/>
  <c r="T33" i="2"/>
  <c r="C108" i="2" s="1"/>
  <c r="E108" i="2" s="1"/>
  <c r="A3" i="1"/>
  <c r="K47" i="2" l="1"/>
  <c r="L47" i="2"/>
  <c r="K69" i="2"/>
  <c r="G48" i="2"/>
  <c r="H48" i="2" s="1"/>
  <c r="E48" i="2"/>
  <c r="L48" i="2" s="1"/>
  <c r="C23" i="1"/>
  <c r="C21" i="1"/>
  <c r="C20" i="1"/>
  <c r="D22" i="2"/>
  <c r="D123" i="2" s="1"/>
  <c r="E123" i="2" s="1"/>
  <c r="D21" i="2"/>
  <c r="D122" i="2" s="1"/>
  <c r="E122" i="2" s="1"/>
  <c r="D20" i="2"/>
  <c r="D121" i="2" s="1"/>
  <c r="E121" i="2" s="1"/>
  <c r="D19" i="2"/>
  <c r="D120" i="2" s="1"/>
  <c r="E120" i="2" s="1"/>
  <c r="D18" i="2"/>
  <c r="D119" i="2" s="1"/>
  <c r="E119" i="2" s="1"/>
  <c r="D17" i="2"/>
  <c r="D118" i="2" s="1"/>
  <c r="E118" i="2" s="1"/>
  <c r="D16" i="2"/>
  <c r="D117" i="2" s="1"/>
  <c r="E117" i="2" s="1"/>
  <c r="D15" i="2"/>
  <c r="D116" i="2" s="1"/>
  <c r="E116" i="2" s="1"/>
  <c r="D14" i="2"/>
  <c r="D115" i="2" s="1"/>
  <c r="E115" i="2" s="1"/>
  <c r="D13" i="2"/>
  <c r="D114" i="2" s="1"/>
  <c r="D12" i="2"/>
  <c r="D111" i="2" s="1"/>
  <c r="D11" i="2"/>
  <c r="D10" i="2"/>
  <c r="D9" i="2"/>
  <c r="D8" i="2"/>
  <c r="D7" i="2"/>
  <c r="D6" i="2"/>
  <c r="D5" i="2"/>
  <c r="B22" i="2"/>
  <c r="B123" i="2" s="1"/>
  <c r="B21" i="2"/>
  <c r="B122" i="2" s="1"/>
  <c r="B20" i="2"/>
  <c r="B121" i="2" s="1"/>
  <c r="B19" i="2"/>
  <c r="B18" i="2"/>
  <c r="B119" i="2" s="1"/>
  <c r="B17" i="2"/>
  <c r="B118" i="2" s="1"/>
  <c r="B16" i="2"/>
  <c r="B117" i="2" s="1"/>
  <c r="B15" i="2"/>
  <c r="B116" i="2" s="1"/>
  <c r="B14" i="2"/>
  <c r="B115" i="2" s="1"/>
  <c r="B13" i="2"/>
  <c r="B114" i="2" s="1"/>
  <c r="B12" i="2"/>
  <c r="B111" i="2" s="1"/>
  <c r="B11" i="2"/>
  <c r="B110" i="2" s="1"/>
  <c r="B10" i="2"/>
  <c r="B109" i="2" s="1"/>
  <c r="B9" i="2"/>
  <c r="B108" i="2" s="1"/>
  <c r="B8" i="2"/>
  <c r="B102" i="2" s="1"/>
  <c r="B7" i="2"/>
  <c r="B101" i="2" s="1"/>
  <c r="B6" i="2"/>
  <c r="B100" i="2" s="1"/>
  <c r="AT19" i="2"/>
  <c r="AR19" i="2"/>
  <c r="AP19" i="2"/>
  <c r="AN19" i="2"/>
  <c r="AL19" i="2"/>
  <c r="AJ19" i="2"/>
  <c r="AH19" i="2"/>
  <c r="AF19" i="2"/>
  <c r="AD19" i="2"/>
  <c r="A16" i="1"/>
  <c r="A15" i="1"/>
  <c r="A14" i="1"/>
  <c r="A6" i="1"/>
  <c r="A5" i="1"/>
  <c r="A4" i="1"/>
  <c r="A2" i="1"/>
  <c r="P12" i="2" l="1"/>
  <c r="O12" i="2" s="1"/>
  <c r="P8" i="2"/>
  <c r="O8" i="2" s="1"/>
  <c r="P9" i="2"/>
  <c r="O9" i="2" s="1"/>
  <c r="P10" i="2"/>
  <c r="O10" i="2" s="1"/>
  <c r="P11" i="2"/>
  <c r="O11" i="2" s="1"/>
  <c r="Q11" i="2" l="1"/>
  <c r="Q10" i="2"/>
  <c r="Q12" i="2"/>
  <c r="Q9" i="2"/>
  <c r="Q8" i="2"/>
  <c r="F20" i="2" l="1"/>
  <c r="B43" i="2" s="1"/>
  <c r="E49" i="2"/>
  <c r="L49" i="2" s="1"/>
  <c r="B19" i="1" l="1"/>
  <c r="O57" i="2"/>
  <c r="E57" i="2" s="1"/>
  <c r="L57" i="2" s="1"/>
  <c r="K49" i="2"/>
  <c r="E59" i="2" l="1"/>
  <c r="L59" i="2" s="1"/>
  <c r="K57" i="2"/>
  <c r="X33" i="2"/>
  <c r="C110" i="2" s="1"/>
  <c r="E110" i="2" s="1"/>
  <c r="E58" i="2"/>
  <c r="L58" i="2" s="1"/>
  <c r="AB33" i="2" l="1"/>
  <c r="C114" i="2" s="1"/>
  <c r="E114" i="2" s="1"/>
  <c r="K59" i="2"/>
  <c r="K58" i="2"/>
  <c r="Z33" i="2"/>
  <c r="C111" i="2" s="1"/>
  <c r="E111" i="2" s="1"/>
  <c r="E50" i="2" l="1"/>
  <c r="E51" i="2"/>
  <c r="K48" i="2"/>
  <c r="J34" i="2"/>
  <c r="K34" i="2" s="1"/>
  <c r="D98" i="2" s="1"/>
  <c r="L34" i="2"/>
  <c r="B5" i="2" s="1"/>
  <c r="B99" i="2" s="1"/>
  <c r="E99" i="2" s="1"/>
  <c r="M34" i="2"/>
  <c r="D99" i="2" s="1"/>
  <c r="L51" i="2" l="1"/>
  <c r="B46" i="2"/>
  <c r="K50" i="2"/>
  <c r="L50" i="2"/>
  <c r="F45" i="2"/>
  <c r="E45" i="2" s="1"/>
  <c r="E46" i="2" s="1"/>
  <c r="L46" i="2" s="1"/>
  <c r="L33" i="2"/>
  <c r="C99" i="2" s="1"/>
  <c r="J33" i="2"/>
  <c r="C98" i="2" s="1"/>
  <c r="E98" i="2" s="1"/>
  <c r="D4" i="2"/>
  <c r="B4" i="2"/>
  <c r="B98" i="2" s="1"/>
  <c r="K51" i="2"/>
  <c r="K45" i="2" l="1"/>
  <c r="L45" i="2"/>
  <c r="R43" i="2" s="1"/>
  <c r="H34" i="2"/>
  <c r="L78" i="2" l="1"/>
  <c r="N46" i="2"/>
  <c r="N44" i="2"/>
  <c r="N45" i="2"/>
  <c r="H33" i="2"/>
  <c r="C97" i="2" s="1"/>
  <c r="N47" i="2"/>
  <c r="B3" i="2"/>
  <c r="B97" i="2" s="1"/>
  <c r="J46" i="2" l="1"/>
  <c r="O45" i="2"/>
  <c r="O46" i="2"/>
  <c r="I34" i="2" l="1"/>
  <c r="D97" i="2" s="1"/>
  <c r="E97" i="2" s="1"/>
  <c r="K46" i="2"/>
  <c r="F44" i="2"/>
  <c r="F34" i="2" s="1"/>
  <c r="G44" i="2" l="1"/>
  <c r="I44" i="2" s="1"/>
  <c r="I38" i="2"/>
  <c r="D3" i="2"/>
  <c r="H44" i="2" l="1"/>
  <c r="J44" i="2" s="1"/>
  <c r="K44" i="2" s="1"/>
  <c r="B2" i="2"/>
  <c r="B96" i="2" s="1"/>
  <c r="C22" i="1"/>
  <c r="G34" i="2" l="1"/>
  <c r="D96" i="2" s="1"/>
  <c r="E96" i="2" s="1"/>
  <c r="G96" i="2" s="1"/>
  <c r="K43" i="2"/>
  <c r="L75" i="2" s="1"/>
  <c r="J43" i="2"/>
  <c r="L43" i="2" s="1"/>
  <c r="D2" i="2" l="1"/>
  <c r="L77" i="2"/>
  <c r="L80" i="2"/>
  <c r="L86" i="2" s="1"/>
  <c r="G97" i="2" s="1"/>
  <c r="L85" i="2"/>
  <c r="L82" i="2" l="1"/>
  <c r="E36" i="2" s="1"/>
  <c r="E1" i="1" s="1"/>
  <c r="G98" i="2" s="1"/>
  <c r="E27" i="1" l="1"/>
  <c r="O83" i="2"/>
  <c r="Q83" i="2" s="1"/>
  <c r="Q8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Filinsky SV</author>
  </authors>
  <commentList>
    <comment ref="X1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Довесок к клеммам за пожарные зоны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Довесок для расчёта корпуса за пожарные зоны
("Прибавляет количество клапанов)</t>
        </r>
      </text>
    </comment>
    <comment ref="X1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Довесок к органам управления и индикации за пожарную зону</t>
        </r>
      </text>
    </comment>
    <comment ref="H32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Довесок за пожарные зоны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Приведённое кол-во модулей, для расчёта типа корпуса</t>
        </r>
      </text>
    </comment>
    <comment ref="J4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Оптовая цена на БР-2</t>
        </r>
      </text>
    </comment>
    <comment ref="H46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Оптовая цена на БР-1M-V3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6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Оптовая цена на БР-1М-V2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7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Оптовая цена на БР-4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8" authorId="0" shapeId="0" xr:uid="{00000000-0006-0000-0100-00000A000000}">
      <text>
        <r>
          <rPr>
            <sz val="9"/>
            <color indexed="81"/>
            <rFont val="Tahoma"/>
            <family val="2"/>
            <charset val="204"/>
          </rPr>
          <t xml:space="preserve">Оптовая цена на БР-1
</t>
        </r>
      </text>
    </comment>
    <comment ref="A49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АЛЬТЕРНАТИВА "БР-4"</t>
        </r>
      </text>
    </comment>
    <comment ref="J49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Оптовая цена на БР-4M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3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04"/>
          </rPr>
          <t>Наличие Индикации или диспетчеризации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7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04"/>
          </rPr>
          <t>Пишем, если нет диспетчеризации и используем "БР-4"</t>
        </r>
        <r>
          <rPr>
            <sz val="9"/>
            <color indexed="81"/>
            <rFont val="Tahoma"/>
            <family val="2"/>
            <charset val="204"/>
          </rPr>
          <t xml:space="preserve">
Если "БР-4М" - то пишем "0"</t>
        </r>
      </text>
    </comment>
  </commentList>
</comments>
</file>

<file path=xl/sharedStrings.xml><?xml version="1.0" encoding="utf-8"?>
<sst xmlns="http://schemas.openxmlformats.org/spreadsheetml/2006/main" count="519" uniqueCount="443">
  <si>
    <t>Параметр 1</t>
  </si>
  <si>
    <t>Параметр 2</t>
  </si>
  <si>
    <t>Параметр 3</t>
  </si>
  <si>
    <t>Параметр 4</t>
  </si>
  <si>
    <t>Параметр 5</t>
  </si>
  <si>
    <t>Параметр 6</t>
  </si>
  <si>
    <t>Параметр 7</t>
  </si>
  <si>
    <t>Параметр 8</t>
  </si>
  <si>
    <t>Параметр 9</t>
  </si>
  <si>
    <t>Параметр 10</t>
  </si>
  <si>
    <t>Параметр 11</t>
  </si>
  <si>
    <t>Параметр 12</t>
  </si>
  <si>
    <t>Параметр 13</t>
  </si>
  <si>
    <t>Параметр 14</t>
  </si>
  <si>
    <t>Параметр 15</t>
  </si>
  <si>
    <t>Параметр 16</t>
  </si>
  <si>
    <t>Параметр 17</t>
  </si>
  <si>
    <t>Параметр 18</t>
  </si>
  <si>
    <t>Параметр 19</t>
  </si>
  <si>
    <t>Параметр 20</t>
  </si>
  <si>
    <t>Наименование</t>
  </si>
  <si>
    <t>итог:</t>
  </si>
  <si>
    <t>Маркировка:</t>
  </si>
  <si>
    <t>Выбор параметров</t>
  </si>
  <si>
    <t>Описание</t>
  </si>
  <si>
    <t>Примечания</t>
  </si>
  <si>
    <t>вар.11.1</t>
  </si>
  <si>
    <t>вар.11.2</t>
  </si>
  <si>
    <t>вар.11.3</t>
  </si>
  <si>
    <t>вар.11.4</t>
  </si>
  <si>
    <t>вар.11.5</t>
  </si>
  <si>
    <t>вар.11.6</t>
  </si>
  <si>
    <t>вар.11.7</t>
  </si>
  <si>
    <t>вар.11.8</t>
  </si>
  <si>
    <t>вар.11.9</t>
  </si>
  <si>
    <t>вар.11.10</t>
  </si>
  <si>
    <t>вар.12.1</t>
  </si>
  <si>
    <t>вар.12.2</t>
  </si>
  <si>
    <t>вар.12.3</t>
  </si>
  <si>
    <t>вар.12.4</t>
  </si>
  <si>
    <t>вар.12.5</t>
  </si>
  <si>
    <t>вар.12.6</t>
  </si>
  <si>
    <t>вар.12.7</t>
  </si>
  <si>
    <t>вар.12.8</t>
  </si>
  <si>
    <t>вар.12.9</t>
  </si>
  <si>
    <t>вар.12.10</t>
  </si>
  <si>
    <t>вар.13.1</t>
  </si>
  <si>
    <t>вар.13.2</t>
  </si>
  <si>
    <t>вар.13.3</t>
  </si>
  <si>
    <t>вар.13.4</t>
  </si>
  <si>
    <t>вар.13.5</t>
  </si>
  <si>
    <t>вар.13.6</t>
  </si>
  <si>
    <t>вар.13.7</t>
  </si>
  <si>
    <t>вар.13.8</t>
  </si>
  <si>
    <t>вар.13.9</t>
  </si>
  <si>
    <t>вар.13.10</t>
  </si>
  <si>
    <t>вар.14.1</t>
  </si>
  <si>
    <t>вар.14.2</t>
  </si>
  <si>
    <t>вар.14.3</t>
  </si>
  <si>
    <t>вар.14.4</t>
  </si>
  <si>
    <t>вар.14.5</t>
  </si>
  <si>
    <t>вар.14.6</t>
  </si>
  <si>
    <t>вар.14.7</t>
  </si>
  <si>
    <t>вар.14.8</t>
  </si>
  <si>
    <t>вар.14.9</t>
  </si>
  <si>
    <t>вар.14.10</t>
  </si>
  <si>
    <t>вар.15.1</t>
  </si>
  <si>
    <t>вар.15.2</t>
  </si>
  <si>
    <t>вар.15.3</t>
  </si>
  <si>
    <t>вар.15.4</t>
  </si>
  <si>
    <t>вар.15.5</t>
  </si>
  <si>
    <t>вар.15.6</t>
  </si>
  <si>
    <t>вар.15.7</t>
  </si>
  <si>
    <t>вар.15.8</t>
  </si>
  <si>
    <t>вар.15.9</t>
  </si>
  <si>
    <t>вар.15.10</t>
  </si>
  <si>
    <t>вар.16.1</t>
  </si>
  <si>
    <t>вар.16.2</t>
  </si>
  <si>
    <t>вар.16.3</t>
  </si>
  <si>
    <t>вар.16.4</t>
  </si>
  <si>
    <t>вар.16.5</t>
  </si>
  <si>
    <t>вар.16.6</t>
  </si>
  <si>
    <t>вар.16.7</t>
  </si>
  <si>
    <t>вар.16.8</t>
  </si>
  <si>
    <t>вар.16.9</t>
  </si>
  <si>
    <t>вар.16.10</t>
  </si>
  <si>
    <t>вар.17.1</t>
  </si>
  <si>
    <t>вар.17.2</t>
  </si>
  <si>
    <t>вар.17.3</t>
  </si>
  <si>
    <t>вар.17.4</t>
  </si>
  <si>
    <t>вар.17.5</t>
  </si>
  <si>
    <t>вар.17.6</t>
  </si>
  <si>
    <t>вар.17.7</t>
  </si>
  <si>
    <t>вар.17.8</t>
  </si>
  <si>
    <t>вар.17.9</t>
  </si>
  <si>
    <t>вар.17.10</t>
  </si>
  <si>
    <t>вар.18.1</t>
  </si>
  <si>
    <t>вар.18.2</t>
  </si>
  <si>
    <t>вар.18.3</t>
  </si>
  <si>
    <t>вар.18.4</t>
  </si>
  <si>
    <t>вар.18.5</t>
  </si>
  <si>
    <t>вар.18.6</t>
  </si>
  <si>
    <t>вар.18.7</t>
  </si>
  <si>
    <t>вар.18.8</t>
  </si>
  <si>
    <t>вар.18.9</t>
  </si>
  <si>
    <t>вар.18.10</t>
  </si>
  <si>
    <t>вар.19.1</t>
  </si>
  <si>
    <t>вар.19.2</t>
  </si>
  <si>
    <t>вар.19.3</t>
  </si>
  <si>
    <t>вар.19.4</t>
  </si>
  <si>
    <t>вар.19.5</t>
  </si>
  <si>
    <t>вар.19.6</t>
  </si>
  <si>
    <t>вар.19.7</t>
  </si>
  <si>
    <t>вар.19.8</t>
  </si>
  <si>
    <t>вар.19.9</t>
  </si>
  <si>
    <t>вар.19.10</t>
  </si>
  <si>
    <t>вар.20.1</t>
  </si>
  <si>
    <t>вар.20.2</t>
  </si>
  <si>
    <t>вар.20.3</t>
  </si>
  <si>
    <t>вар.20.4</t>
  </si>
  <si>
    <t>вар.20.5</t>
  </si>
  <si>
    <t>вар.20.6</t>
  </si>
  <si>
    <t>вар.20.7</t>
  </si>
  <si>
    <t>вар.20.8</t>
  </si>
  <si>
    <t>вар.20.9</t>
  </si>
  <si>
    <t>вар.20.10</t>
  </si>
  <si>
    <t>символ:</t>
  </si>
  <si>
    <t>-</t>
  </si>
  <si>
    <t>[</t>
  </si>
  <si>
    <t xml:space="preserve"> </t>
  </si>
  <si>
    <t>/</t>
  </si>
  <si>
    <t>ЦЕНА</t>
  </si>
  <si>
    <t>Спецификация</t>
  </si>
  <si>
    <t>кол-во</t>
  </si>
  <si>
    <t>стоимость</t>
  </si>
  <si>
    <t>Элемент 30</t>
  </si>
  <si>
    <t>Элемент 31</t>
  </si>
  <si>
    <t>Элемент 32</t>
  </si>
  <si>
    <t>Элемент 33</t>
  </si>
  <si>
    <t>Элемент 34</t>
  </si>
  <si>
    <t>Элемент 35</t>
  </si>
  <si>
    <t>Элемент 36</t>
  </si>
  <si>
    <t>Элемент 37</t>
  </si>
  <si>
    <t>Элемент 38</t>
  </si>
  <si>
    <t>Элемент 39</t>
  </si>
  <si>
    <t>Элемент 40</t>
  </si>
  <si>
    <t>Компаненты:</t>
  </si>
  <si>
    <t>Корпус</t>
  </si>
  <si>
    <t>Цена:</t>
  </si>
  <si>
    <t>Варианты:</t>
  </si>
  <si>
    <t>вар.11.11</t>
  </si>
  <si>
    <t>вар.12.11</t>
  </si>
  <si>
    <t>вар.13.11</t>
  </si>
  <si>
    <t>вар.14.11</t>
  </si>
  <si>
    <t>вар.15.11</t>
  </si>
  <si>
    <t>вар.16.11</t>
  </si>
  <si>
    <t>вар.17.11</t>
  </si>
  <si>
    <t>вар.18.11</t>
  </si>
  <si>
    <t>вар.19.11</t>
  </si>
  <si>
    <t>вар.20.11</t>
  </si>
  <si>
    <t>вар.11.12</t>
  </si>
  <si>
    <t>вар.12.12</t>
  </si>
  <si>
    <t>вар.13.12</t>
  </si>
  <si>
    <t>вар.14.12</t>
  </si>
  <si>
    <t>вар.15.12</t>
  </si>
  <si>
    <t>вар.16.12</t>
  </si>
  <si>
    <t>вар.17.12</t>
  </si>
  <si>
    <t>вар.18.12</t>
  </si>
  <si>
    <t>вар.19.12</t>
  </si>
  <si>
    <t>вар.20.12</t>
  </si>
  <si>
    <t>вар.11.13</t>
  </si>
  <si>
    <t>вар.12.13</t>
  </si>
  <si>
    <t>вар.13.13</t>
  </si>
  <si>
    <t>вар.14.13</t>
  </si>
  <si>
    <t>вар.15.13</t>
  </si>
  <si>
    <t>вар.16.13</t>
  </si>
  <si>
    <t>вар.17.13</t>
  </si>
  <si>
    <t>вар.18.13</t>
  </si>
  <si>
    <t>вар.19.13</t>
  </si>
  <si>
    <t>вар.20.13</t>
  </si>
  <si>
    <t>вар.11.14</t>
  </si>
  <si>
    <t>вар.12.14</t>
  </si>
  <si>
    <t>вар.13.14</t>
  </si>
  <si>
    <t>вар.14.14</t>
  </si>
  <si>
    <t>вар.15.14</t>
  </si>
  <si>
    <t>вар.16.14</t>
  </si>
  <si>
    <t>вар.17.14</t>
  </si>
  <si>
    <t>вар.18.14</t>
  </si>
  <si>
    <t>вар.19.14</t>
  </si>
  <si>
    <t>вар.20.14</t>
  </si>
  <si>
    <t>вар.11.15</t>
  </si>
  <si>
    <t>вар.12.15</t>
  </si>
  <si>
    <t>вар.13.15</t>
  </si>
  <si>
    <t>вар.14.15</t>
  </si>
  <si>
    <t>вар.15.15</t>
  </si>
  <si>
    <t>вар.16.15</t>
  </si>
  <si>
    <t>вар.17.15</t>
  </si>
  <si>
    <t>вар.18.15</t>
  </si>
  <si>
    <t>вар.19.15</t>
  </si>
  <si>
    <t>вар.20.15</t>
  </si>
  <si>
    <t>Итоговый подбор параметров</t>
  </si>
  <si>
    <t>ЩУ-П НИКОМ</t>
  </si>
  <si>
    <t>Кп</t>
  </si>
  <si>
    <t>Входное напряжение</t>
  </si>
  <si>
    <t>Сепень защиты</t>
  </si>
  <si>
    <t>IP31</t>
  </si>
  <si>
    <t>IP54</t>
  </si>
  <si>
    <t>IP65</t>
  </si>
  <si>
    <t>ряд после таблиц (вторая строка)</t>
  </si>
  <si>
    <t>Напряжение питания привода</t>
  </si>
  <si>
    <t>Тип управляющего сигнала</t>
  </si>
  <si>
    <t>NO</t>
  </si>
  <si>
    <t>NC</t>
  </si>
  <si>
    <t>12D</t>
  </si>
  <si>
    <t>24D</t>
  </si>
  <si>
    <t>]</t>
  </si>
  <si>
    <t>И</t>
  </si>
  <si>
    <t>Способ контрля линий</t>
  </si>
  <si>
    <t>Марка щита</t>
  </si>
  <si>
    <t>Тип клапана</t>
  </si>
  <si>
    <t>Кр</t>
  </si>
  <si>
    <t>Кэ</t>
  </si>
  <si>
    <t>ЩУ-П НИКОМ Кп-230-IP31-1[</t>
  </si>
  <si>
    <t>/230/1-24D]</t>
  </si>
  <si>
    <t>Максимальный номинальный ток одного привода</t>
  </si>
  <si>
    <t>Индикация</t>
  </si>
  <si>
    <t>Указывается от 1 до 40</t>
  </si>
  <si>
    <t>Не редактируемый параметр.</t>
  </si>
  <si>
    <t>Степень защиты оболочки IP31</t>
  </si>
  <si>
    <t>Степень защиты оболочки IP65</t>
  </si>
  <si>
    <t xml:space="preserve">Щит управления </t>
  </si>
  <si>
    <t xml:space="preserve"> клапанами</t>
  </si>
  <si>
    <t xml:space="preserve">Управляющий сигнал, от внешних устройств, типа: </t>
  </si>
  <si>
    <t xml:space="preserve"> ("сухой контакт")</t>
  </si>
  <si>
    <t xml:space="preserve"> (напряжение 12VDC)</t>
  </si>
  <si>
    <t xml:space="preserve"> (напряжение 24VDC)</t>
  </si>
  <si>
    <t>ТИП</t>
  </si>
  <si>
    <t>ОПИСАНИЕ</t>
  </si>
  <si>
    <t>КОД ОБОРУД</t>
  </si>
  <si>
    <t>Стоимость</t>
  </si>
  <si>
    <t>Цена</t>
  </si>
  <si>
    <r>
      <t xml:space="preserve">Стоимость </t>
    </r>
    <r>
      <rPr>
        <b/>
        <u/>
        <sz val="12"/>
        <color theme="1"/>
        <rFont val="Arial"/>
        <family val="2"/>
        <charset val="204"/>
      </rPr>
      <t xml:space="preserve">одного </t>
    </r>
    <r>
      <rPr>
        <b/>
        <sz val="12"/>
        <color theme="1"/>
        <rFont val="Arial"/>
        <family val="2"/>
        <charset val="204"/>
      </rPr>
      <t xml:space="preserve">шкафа в сборе </t>
    </r>
  </si>
  <si>
    <t>дата актуализации цены</t>
  </si>
  <si>
    <t>Корректировка</t>
  </si>
  <si>
    <t>АППАРАТУРА НА ППУ</t>
  </si>
  <si>
    <t>шт.</t>
  </si>
  <si>
    <t xml:space="preserve"> - кол-во клапанов</t>
  </si>
  <si>
    <t xml:space="preserve">Корпус </t>
  </si>
  <si>
    <t xml:space="preserve"> - довесок за шкаф</t>
  </si>
  <si>
    <t>БР-2</t>
  </si>
  <si>
    <t>QF1</t>
  </si>
  <si>
    <t>11052DEK</t>
  </si>
  <si>
    <t>KL1</t>
  </si>
  <si>
    <t xml:space="preserve">RM84-2012-35-5230 </t>
  </si>
  <si>
    <t>РелПол</t>
  </si>
  <si>
    <t>GZT80</t>
  </si>
  <si>
    <t>ХТ1</t>
  </si>
  <si>
    <t>304130, Клеммник на DIN-рейку 4мм.кв. (серый); AVK4 (упак 100 шт)</t>
  </si>
  <si>
    <t>Klemsan</t>
  </si>
  <si>
    <t>304131, Клеммник на DIN-рейку 4мм.кв. (синий); AVK4 (упак 100 шт)</t>
  </si>
  <si>
    <t>32015DEK</t>
  </si>
  <si>
    <t>334120, Клеммник на DIN-рейку 4 мм.кв., (земля); AVK2,5/4T (упак 50 шт)</t>
  </si>
  <si>
    <t>ХТ3</t>
  </si>
  <si>
    <t>304120, Клеммник на DIN-рейку 2,5мм.кв. (серый); AVK2,5 (упак 100 шт)</t>
  </si>
  <si>
    <t>304121, Клеммник на DIN-рейку 2,5мм.кв. (синий); AVK2,5 (упак 100 шт)</t>
  </si>
  <si>
    <t>ХТ5</t>
  </si>
  <si>
    <t>Лампа ADDS 22мм желтая LED 220В</t>
  </si>
  <si>
    <t>25004DEK</t>
  </si>
  <si>
    <t>SA1</t>
  </si>
  <si>
    <t>Переключатель AKS-2 22мм с ключом 2 позиции I-O черная ручка</t>
  </si>
  <si>
    <t>25053DEK</t>
  </si>
  <si>
    <t>SA2</t>
  </si>
  <si>
    <t>Перекл. на 2 пол. I-O удлинн. ручка (1НО+1НЗ) ALCR</t>
  </si>
  <si>
    <t xml:space="preserve"> 25145DEK</t>
  </si>
  <si>
    <t>Метизы и расходные материалы</t>
  </si>
  <si>
    <t>Комплектация</t>
  </si>
  <si>
    <t>Всего шкафов</t>
  </si>
  <si>
    <t>Подготовка Док-ции</t>
  </si>
  <si>
    <t>ИТР</t>
  </si>
  <si>
    <t>Сборка</t>
  </si>
  <si>
    <t>Программирование</t>
  </si>
  <si>
    <t>ОТК</t>
  </si>
  <si>
    <t>Шеф-монтаж</t>
  </si>
  <si>
    <t>Итого</t>
  </si>
  <si>
    <t>Проверка:</t>
  </si>
  <si>
    <t>матриалы</t>
  </si>
  <si>
    <t>работа</t>
  </si>
  <si>
    <t>Соимость разработки КД:</t>
  </si>
  <si>
    <t>5000*К0</t>
  </si>
  <si>
    <t>коэф. На разработку</t>
  </si>
  <si>
    <t>Соимость ИТР:</t>
  </si>
  <si>
    <t>Цк*К1</t>
  </si>
  <si>
    <t>коэф. На сборку</t>
  </si>
  <si>
    <t>Соимость сборки:</t>
  </si>
  <si>
    <t>Цк*К2</t>
  </si>
  <si>
    <t>Соимость ОТК:</t>
  </si>
  <si>
    <t>Цк*К3</t>
  </si>
  <si>
    <t>коэф. На ОТК</t>
  </si>
  <si>
    <t>Соимость программирования:</t>
  </si>
  <si>
    <t>2000*К4</t>
  </si>
  <si>
    <t>коэф. На программир-е</t>
  </si>
  <si>
    <t>Соимость шеф-монтажа на объекте</t>
  </si>
  <si>
    <t>1000*К5</t>
  </si>
  <si>
    <t>коэф. На Шеф-монтаж</t>
  </si>
  <si>
    <t>"И"</t>
  </si>
  <si>
    <t>2 "И"</t>
  </si>
  <si>
    <t>2 "-"</t>
  </si>
  <si>
    <t>1 "-"</t>
  </si>
  <si>
    <t>DA1.1</t>
  </si>
  <si>
    <t>DA1.2</t>
  </si>
  <si>
    <t>Блок релейный "БР-2-US-IP00"</t>
  </si>
  <si>
    <t>Блок релейный БР-1М-Пд-УН-IP20</t>
  </si>
  <si>
    <t>QF2</t>
  </si>
  <si>
    <t>DA1.1-DA1.15</t>
  </si>
  <si>
    <t>БР-4</t>
  </si>
  <si>
    <t>БР-4М</t>
  </si>
  <si>
    <t>DA3</t>
  </si>
  <si>
    <t>БР1</t>
  </si>
  <si>
    <t>UP</t>
  </si>
  <si>
    <t>Блок релейный, БР-4-230-УН-Пд-ТС-IP20-М</t>
  </si>
  <si>
    <t>KМ1</t>
  </si>
  <si>
    <t>Источник питания RS-15-12</t>
  </si>
  <si>
    <t>R4N-2014-23-5230-WT</t>
  </si>
  <si>
    <t>GZM4-gray</t>
  </si>
  <si>
    <t>G4 1052</t>
  </si>
  <si>
    <t>RM84-2012-25-5230-RUS</t>
  </si>
  <si>
    <t>GZM80-gray</t>
  </si>
  <si>
    <t>GZM80-0041</t>
  </si>
  <si>
    <t>ХТ2</t>
  </si>
  <si>
    <t>ХТ4</t>
  </si>
  <si>
    <t>HL3, L1.2-L10.2</t>
  </si>
  <si>
    <t>Лампа ADDS 22мм зеленая LED 220В</t>
  </si>
  <si>
    <t>25002DEK</t>
  </si>
  <si>
    <t>HL1,HL1.1-L10.1</t>
  </si>
  <si>
    <t>Лампа ADDS 22мм красная LED 220В</t>
  </si>
  <si>
    <t>25003DEK</t>
  </si>
  <si>
    <t>HL4,HL2</t>
  </si>
  <si>
    <t>комплектация</t>
  </si>
  <si>
    <t>РАБОТА</t>
  </si>
  <si>
    <t>(МАХ СКИДКА)</t>
  </si>
  <si>
    <t>11076DEK</t>
  </si>
  <si>
    <t>11077DEK</t>
  </si>
  <si>
    <t>11078DEK</t>
  </si>
  <si>
    <t>11079DEK</t>
  </si>
  <si>
    <t>11080DEK</t>
  </si>
  <si>
    <t>11081DEK</t>
  </si>
  <si>
    <t>11082DEK</t>
  </si>
  <si>
    <t>11083DEK</t>
  </si>
  <si>
    <t>11084DEK</t>
  </si>
  <si>
    <t>13008DEK</t>
  </si>
  <si>
    <t>13009DEK</t>
  </si>
  <si>
    <t>цена:</t>
  </si>
  <si>
    <r>
      <t>автомат</t>
    </r>
    <r>
      <rPr>
        <b/>
        <sz val="10"/>
        <color theme="1"/>
        <rFont val="Arial Cyr"/>
        <charset val="204"/>
      </rPr>
      <t xml:space="preserve"> "С"</t>
    </r>
  </si>
  <si>
    <r>
      <t>автомат</t>
    </r>
    <r>
      <rPr>
        <b/>
        <sz val="8"/>
        <color theme="1"/>
        <rFont val="Arial Cyr"/>
        <charset val="204"/>
      </rPr>
      <t xml:space="preserve"> "С"</t>
    </r>
  </si>
  <si>
    <t>11060DEK</t>
  </si>
  <si>
    <t>11053DEK</t>
  </si>
  <si>
    <t>11054DEK</t>
  </si>
  <si>
    <t>11055DEK</t>
  </si>
  <si>
    <t>11056DEK</t>
  </si>
  <si>
    <t>11057DEK</t>
  </si>
  <si>
    <t>11058DEK</t>
  </si>
  <si>
    <t>11059DEK</t>
  </si>
  <si>
    <t>KL2, KL11-KL20</t>
  </si>
  <si>
    <t>Параметр 21</t>
  </si>
  <si>
    <t>Параметр 22</t>
  </si>
  <si>
    <t>Параметр 23</t>
  </si>
  <si>
    <t>Параметр 24</t>
  </si>
  <si>
    <t>Параметр 25</t>
  </si>
  <si>
    <t>Параметр 26</t>
  </si>
  <si>
    <t>Параметр 27</t>
  </si>
  <si>
    <t>Параметр 28</t>
  </si>
  <si>
    <t>Параметр 29</t>
  </si>
  <si>
    <t>Параметр 30</t>
  </si>
  <si>
    <t>Параметр 31</t>
  </si>
  <si>
    <t>Выключатель автоматический однополюсный 63А С ВА-101 4.5кА (11060DEK)</t>
  </si>
  <si>
    <t>Выключатель автоматический однополюсный 50А С ВА-101 4.5кА (11059DEK)</t>
  </si>
  <si>
    <t>Выключатель автоматический однополюсный 40А С ВА-101 4.5кА (11058DEK)</t>
  </si>
  <si>
    <t>Выключатель автоматический однополюсный 32А С ВА-101 4.5кА (11057DEK)</t>
  </si>
  <si>
    <t>Выключатель автоматический однополюсный 25А С ВА-101 4.5кА (11056DEK)</t>
  </si>
  <si>
    <t>Выключатель автоматический однополюсный 20А С ВА-101 4.5кА (11055DEK)</t>
  </si>
  <si>
    <t>Выключатель автоматический однополюсный 16А С ВА-101 4.5кА (11054DEK)</t>
  </si>
  <si>
    <t>Выключатель автоматический однополюсный 10А С ВА-101 4.5кА (11053DEK)</t>
  </si>
  <si>
    <t>Выключатель автоматический однополюсный 6А С ВА-101 4.5кА (11052DEK)</t>
  </si>
  <si>
    <t>9А</t>
  </si>
  <si>
    <t>12А</t>
  </si>
  <si>
    <t>18А</t>
  </si>
  <si>
    <t>25А</t>
  </si>
  <si>
    <t>контактор</t>
  </si>
  <si>
    <t>22103DEK</t>
  </si>
  <si>
    <t>22108DEK</t>
  </si>
  <si>
    <t>22113DEK</t>
  </si>
  <si>
    <t>22118DEK</t>
  </si>
  <si>
    <t>Контактор КМ-103 9А катушка управления 220В AC</t>
  </si>
  <si>
    <t>Контактор КМ-103 12А катушка управления 220В AC</t>
  </si>
  <si>
    <t>Контактор КМ-103 18А катушка управления 220В AC</t>
  </si>
  <si>
    <t>Контактор КМ-103 25А катушка управления 220В AC</t>
  </si>
  <si>
    <t>кол-во,шт</t>
  </si>
  <si>
    <t>Блок релейный,  БР-4-230-КР(П)-Пд-ТС-IP20</t>
  </si>
  <si>
    <t>Блок релейный, БР-1-230-КП(Р/Э)-Пд-ТК)С)-IP20</t>
  </si>
  <si>
    <t>Блок релейный БР-1М-Пд-УН-IP20-V3</t>
  </si>
  <si>
    <t>Количество пожарных зон (Сигналов "ПОЖАР")</t>
  </si>
  <si>
    <t>-ой</t>
  </si>
  <si>
    <t>-ий</t>
  </si>
  <si>
    <t>-ый</t>
  </si>
  <si>
    <t xml:space="preserve"> Пожарной зоны </t>
  </si>
  <si>
    <t xml:space="preserve">Количество клапанов </t>
  </si>
  <si>
    <t>-ей</t>
  </si>
  <si>
    <t xml:space="preserve"> шт.</t>
  </si>
  <si>
    <t xml:space="preserve">Пожарных зон: </t>
  </si>
  <si>
    <r>
      <rPr>
        <b/>
        <sz val="10"/>
        <color theme="1"/>
        <rFont val="Calibri"/>
        <family val="2"/>
        <scheme val="minor"/>
      </rPr>
      <t>Кп</t>
    </r>
    <r>
      <rPr>
        <sz val="10"/>
        <color theme="1"/>
        <rFont val="Calibri"/>
        <family val="2"/>
        <scheme val="minor"/>
      </rPr>
      <t xml:space="preserve"> – с пружинным возвратом;
</t>
    </r>
    <r>
      <rPr>
        <b/>
        <sz val="10"/>
        <color theme="1"/>
        <rFont val="Calibri"/>
        <family val="2"/>
        <scheme val="minor"/>
      </rPr>
      <t>Кр</t>
    </r>
    <r>
      <rPr>
        <sz val="10"/>
        <color theme="1"/>
        <rFont val="Calibri"/>
        <family val="2"/>
        <scheme val="minor"/>
      </rPr>
      <t xml:space="preserve"> – реверсивный;
</t>
    </r>
    <r>
      <rPr>
        <b/>
        <sz val="10"/>
        <color theme="1"/>
        <rFont val="Calibri"/>
        <family val="2"/>
        <scheme val="minor"/>
      </rPr>
      <t>Кэ</t>
    </r>
    <r>
      <rPr>
        <sz val="10"/>
        <color theme="1"/>
        <rFont val="Calibri"/>
        <family val="2"/>
        <scheme val="minor"/>
      </rPr>
      <t xml:space="preserve"> – электромагнитный.</t>
    </r>
  </si>
  <si>
    <r>
      <rPr>
        <b/>
        <sz val="10"/>
        <color theme="1"/>
        <rFont val="Calibri"/>
        <family val="2"/>
        <scheme val="minor"/>
      </rPr>
      <t>IP31</t>
    </r>
    <r>
      <rPr>
        <sz val="10"/>
        <color theme="1"/>
        <rFont val="Calibri"/>
        <family val="2"/>
        <scheme val="minor"/>
      </rPr>
      <t xml:space="preserve"> – с пружинным возвратом;
</t>
    </r>
    <r>
      <rPr>
        <b/>
        <sz val="10"/>
        <color theme="1"/>
        <rFont val="Calibri"/>
        <family val="2"/>
        <scheme val="minor"/>
      </rPr>
      <t>IP54</t>
    </r>
    <r>
      <rPr>
        <sz val="10"/>
        <color theme="1"/>
        <rFont val="Calibri"/>
        <family val="2"/>
        <scheme val="minor"/>
      </rPr>
      <t xml:space="preserve"> – реверсивный;
</t>
    </r>
    <r>
      <rPr>
        <b/>
        <sz val="10"/>
        <color theme="1"/>
        <rFont val="Calibri"/>
        <family val="2"/>
        <scheme val="minor"/>
      </rPr>
      <t>IP65</t>
    </r>
    <r>
      <rPr>
        <sz val="10"/>
        <color theme="1"/>
        <rFont val="Calibri"/>
        <family val="2"/>
        <scheme val="minor"/>
      </rPr>
      <t xml:space="preserve"> – электромагнитный.</t>
    </r>
  </si>
  <si>
    <r>
      <rPr>
        <b/>
        <sz val="10"/>
        <color theme="1"/>
        <rFont val="Calibri"/>
        <family val="2"/>
        <scheme val="minor"/>
      </rPr>
      <t>Указывается значения от 1 до 6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Если пожарных зон &gt; 6  =</t>
    </r>
    <r>
      <rPr>
        <sz val="10"/>
        <color theme="1"/>
        <rFont val="Calibri"/>
        <family val="2"/>
        <scheme val="minor"/>
      </rPr>
      <t xml:space="preserve">.&gt; </t>
    </r>
    <r>
      <rPr>
        <b/>
        <sz val="10"/>
        <color theme="1"/>
        <rFont val="Calibri"/>
        <family val="2"/>
        <scheme val="minor"/>
      </rPr>
      <t>ЭКСКЛЮЗИВ</t>
    </r>
  </si>
  <si>
    <r>
      <rPr>
        <b/>
        <sz val="10"/>
        <color theme="1"/>
        <rFont val="Calibri"/>
        <family val="2"/>
        <scheme val="minor"/>
      </rPr>
      <t>Не редактируемый параметр.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Если привод 24В =&gt; добавить 500руб. умноженное на кол-во клапанов</t>
    </r>
  </si>
  <si>
    <r>
      <rPr>
        <b/>
        <sz val="10"/>
        <color theme="1"/>
        <rFont val="Calibri"/>
        <family val="2"/>
        <scheme val="minor"/>
      </rPr>
      <t>12/24D</t>
    </r>
    <r>
      <rPr>
        <sz val="10"/>
        <color theme="1"/>
        <rFont val="Calibri"/>
        <family val="2"/>
        <scheme val="minor"/>
      </rPr>
      <t xml:space="preserve"> – управление постоянным напряжением 12/24В;
</t>
    </r>
    <r>
      <rPr>
        <b/>
        <sz val="10"/>
        <color theme="1"/>
        <rFont val="Calibri"/>
        <family val="2"/>
        <scheme val="minor"/>
      </rPr>
      <t>NO</t>
    </r>
    <r>
      <rPr>
        <sz val="10"/>
        <color theme="1"/>
        <rFont val="Calibri"/>
        <family val="2"/>
        <scheme val="minor"/>
      </rPr>
      <t xml:space="preserve"> – нормально разомкнутый контакт (при ПОЖАРЕ - замыкается);
</t>
    </r>
    <r>
      <rPr>
        <b/>
        <sz val="10"/>
        <color theme="1"/>
        <rFont val="Calibri"/>
        <family val="2"/>
        <scheme val="minor"/>
      </rPr>
      <t>NC</t>
    </r>
    <r>
      <rPr>
        <sz val="10"/>
        <color theme="1"/>
        <rFont val="Calibri"/>
        <family val="2"/>
        <scheme val="minor"/>
      </rPr>
      <t xml:space="preserve"> – нормально замкнутый контакт (при ПОЖАРЕ - размыкается).</t>
    </r>
  </si>
  <si>
    <r>
      <rPr>
        <b/>
        <sz val="10"/>
        <color theme="1"/>
        <rFont val="Calibri"/>
        <family val="2"/>
        <scheme val="minor"/>
      </rPr>
      <t xml:space="preserve"> " "</t>
    </r>
    <r>
      <rPr>
        <sz val="10"/>
        <color theme="1"/>
        <rFont val="Calibri"/>
        <family val="2"/>
        <scheme val="minor"/>
      </rPr>
      <t xml:space="preserve"> – нет индикации положения;
</t>
    </r>
    <r>
      <rPr>
        <b/>
        <sz val="10"/>
        <color theme="1"/>
        <rFont val="Calibri"/>
        <family val="2"/>
        <scheme val="minor"/>
      </rPr>
      <t>И</t>
    </r>
    <r>
      <rPr>
        <sz val="10"/>
        <color theme="1"/>
        <rFont val="Calibri"/>
        <family val="2"/>
        <scheme val="minor"/>
      </rPr>
      <t xml:space="preserve"> – индикация положения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каждого</t>
    </r>
    <r>
      <rPr>
        <sz val="10"/>
        <color theme="1"/>
        <rFont val="Calibri"/>
        <family val="2"/>
        <scheme val="minor"/>
      </rPr>
      <t xml:space="preserve"> клапана.</t>
    </r>
  </si>
  <si>
    <t>Диспетчеризация</t>
  </si>
  <si>
    <t>Д</t>
  </si>
  <si>
    <r>
      <rPr>
        <b/>
        <sz val="10"/>
        <color theme="1"/>
        <rFont val="Calibri"/>
        <family val="2"/>
        <scheme val="minor"/>
      </rPr>
      <t xml:space="preserve"> " "</t>
    </r>
    <r>
      <rPr>
        <sz val="10"/>
        <color theme="1"/>
        <rFont val="Calibri"/>
        <family val="2"/>
        <scheme val="minor"/>
      </rPr>
      <t xml:space="preserve"> – нет диспетчеризации положения;
</t>
    </r>
    <r>
      <rPr>
        <b/>
        <sz val="10"/>
        <color theme="1"/>
        <rFont val="Calibri"/>
        <family val="2"/>
        <scheme val="minor"/>
      </rPr>
      <t>Д</t>
    </r>
    <r>
      <rPr>
        <sz val="10"/>
        <color theme="1"/>
        <rFont val="Calibri"/>
        <family val="2"/>
        <scheme val="minor"/>
      </rPr>
      <t xml:space="preserve"> – Диспетчеризация положения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каждого</t>
    </r>
    <r>
      <rPr>
        <sz val="10"/>
        <color theme="1"/>
        <rFont val="Calibri"/>
        <family val="2"/>
        <scheme val="minor"/>
      </rPr>
      <t xml:space="preserve"> клапана.</t>
    </r>
  </si>
  <si>
    <t>кол-во модулей</t>
  </si>
  <si>
    <t>ЩМП1 (395х310х220)</t>
  </si>
  <si>
    <t>ЩМП2 (500х400х220)</t>
  </si>
  <si>
    <t>ЩМП3 (650х500х220)</t>
  </si>
  <si>
    <t>ЩМП4 (800х650х250)</t>
  </si>
  <si>
    <t>ЩМП5 (1000х750х300)</t>
  </si>
  <si>
    <t>ЩМП6 (1200х750х300)</t>
  </si>
  <si>
    <t>Доп. Опция: Диспетчеризация положения каждого клапана "Открыт", "Закрыт"</t>
  </si>
  <si>
    <t>Доп. Опция: Индикация положения каждого клапана "Открыт", "Закрыт"</t>
  </si>
  <si>
    <t>Степень защиты: IP54</t>
  </si>
  <si>
    <t xml:space="preserve">. </t>
  </si>
  <si>
    <t xml:space="preserve">Корпус: </t>
  </si>
  <si>
    <t>ЩМП7 (1400х650х285)</t>
  </si>
  <si>
    <t>ЭКСКЛЮЗИВ</t>
  </si>
  <si>
    <t>СТОИМОСТЬ СБОРКИ - от мощности</t>
  </si>
  <si>
    <t>Скидка:</t>
  </si>
  <si>
    <t>коэф. На ИТР</t>
  </si>
  <si>
    <t>, с косвенным контролем линий управления</t>
  </si>
  <si>
    <t>, с прямым контролем всех линий</t>
  </si>
  <si>
    <r>
      <t xml:space="preserve">1 – косвенный контроль линий управления;
</t>
    </r>
    <r>
      <rPr>
        <b/>
        <sz val="9"/>
        <rFont val="Calibri"/>
        <family val="2"/>
        <charset val="204"/>
        <scheme val="minor"/>
      </rPr>
      <t>2 – прямой контроль всех линий.</t>
    </r>
  </si>
  <si>
    <t>Если ток привода &lt; 6А - цена не изменится, а в маркировке, в счёте - указать "6А"</t>
  </si>
  <si>
    <t xml:space="preserve">С электромагнитным приводом, 230В, Iном &lt; </t>
  </si>
  <si>
    <t>А</t>
  </si>
  <si>
    <t xml:space="preserve">Привод - с возвратной пружиной, 230В, Iном &lt; </t>
  </si>
  <si>
    <r>
      <t xml:space="preserve">С реверсивным приводом, 230В, </t>
    </r>
    <r>
      <rPr>
        <sz val="14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scheme val="minor"/>
      </rPr>
      <t xml:space="preserve">ном &lt;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</si>
</sst>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#,##0.00\ &quot;₽&quot;"/>
  </numFmts>
  <fonts count="6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6"/>
      <color theme="1"/>
      <name val="Arial Cyr"/>
      <charset val="204"/>
    </font>
    <font>
      <sz val="11"/>
      <color theme="1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u/>
      <sz val="10"/>
      <color theme="10"/>
      <name val="Arial Cyr"/>
      <family val="2"/>
      <charset val="204"/>
    </font>
    <font>
      <sz val="11"/>
      <color theme="1"/>
      <name val="Arial"/>
      <family val="2"/>
      <charset val="204"/>
    </font>
    <font>
      <b/>
      <u/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rgb="FF7030A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 Cyr"/>
      <family val="2"/>
      <charset val="204"/>
    </font>
    <font>
      <u/>
      <sz val="9"/>
      <color theme="10"/>
      <name val="Arial Cyr"/>
      <family val="2"/>
      <charset val="204"/>
    </font>
    <font>
      <u/>
      <sz val="8"/>
      <color theme="10"/>
      <name val="Arial Cyr"/>
      <family val="2"/>
      <charset val="204"/>
    </font>
    <font>
      <u/>
      <sz val="10"/>
      <color theme="10"/>
      <name val="Calibri"/>
      <family val="2"/>
      <scheme val="minor"/>
    </font>
    <font>
      <sz val="8"/>
      <color theme="1"/>
      <name val="Arial Cyr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theme="1"/>
      <name val="Arial Cyr"/>
      <charset val="204"/>
    </font>
    <font>
      <b/>
      <sz val="9"/>
      <name val="Arial"/>
      <family val="2"/>
      <charset val="204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7"/>
      <color theme="1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7"/>
      <color theme="1"/>
      <name val="Arial Cyr"/>
      <charset val="204"/>
    </font>
    <font>
      <b/>
      <sz val="7"/>
      <name val="Arial Cyr"/>
      <charset val="204"/>
    </font>
    <font>
      <b/>
      <u/>
      <sz val="9"/>
      <color theme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Fill="1" applyBorder="1" applyAlignment="1">
      <alignment horizontal="right"/>
    </xf>
    <xf numFmtId="0" fontId="0" fillId="0" borderId="34" xfId="0" applyBorder="1"/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2" borderId="0" xfId="0" applyFill="1"/>
    <xf numFmtId="0" fontId="0" fillId="2" borderId="1" xfId="0" applyFill="1" applyBorder="1"/>
    <xf numFmtId="0" fontId="0" fillId="0" borderId="43" xfId="0" applyBorder="1"/>
    <xf numFmtId="0" fontId="0" fillId="0" borderId="44" xfId="0" applyBorder="1"/>
    <xf numFmtId="0" fontId="0" fillId="0" borderId="45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/>
    <xf numFmtId="0" fontId="5" fillId="5" borderId="12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0" fillId="6" borderId="4" xfId="0" applyFill="1" applyBorder="1"/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40" xfId="0" applyFill="1" applyBorder="1"/>
    <xf numFmtId="0" fontId="0" fillId="6" borderId="5" xfId="0" applyFill="1" applyBorder="1"/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/>
    <xf numFmtId="0" fontId="0" fillId="6" borderId="33" xfId="0" applyFill="1" applyBorder="1" applyAlignment="1">
      <alignment horizontal="center" vertical="center"/>
    </xf>
    <xf numFmtId="0" fontId="0" fillId="6" borderId="9" xfId="0" applyFill="1" applyBorder="1"/>
    <xf numFmtId="0" fontId="0" fillId="6" borderId="42" xfId="0" applyFill="1" applyBorder="1"/>
    <xf numFmtId="0" fontId="0" fillId="6" borderId="41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34" xfId="0" applyFill="1" applyBorder="1"/>
    <xf numFmtId="0" fontId="0" fillId="6" borderId="43" xfId="0" applyFill="1" applyBorder="1"/>
    <xf numFmtId="0" fontId="0" fillId="6" borderId="3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32" xfId="0" applyFill="1" applyBorder="1"/>
    <xf numFmtId="0" fontId="0" fillId="0" borderId="0" xfId="0" applyProtection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6" fillId="8" borderId="1" xfId="0" applyFont="1" applyFill="1" applyBorder="1" applyAlignment="1">
      <alignment horizontal="center" wrapText="1"/>
    </xf>
    <xf numFmtId="0" fontId="23" fillId="0" borderId="3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5" fontId="23" fillId="0" borderId="4" xfId="0" applyNumberFormat="1" applyFont="1" applyBorder="1" applyAlignment="1">
      <alignment horizontal="center" vertical="center"/>
    </xf>
    <xf numFmtId="0" fontId="16" fillId="7" borderId="0" xfId="0" applyFont="1" applyFill="1"/>
    <xf numFmtId="0" fontId="18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44" fontId="23" fillId="12" borderId="4" xfId="1" applyFont="1" applyFill="1" applyBorder="1" applyAlignment="1">
      <alignment horizontal="center"/>
    </xf>
    <xf numFmtId="165" fontId="18" fillId="5" borderId="8" xfId="0" applyNumberFormat="1" applyFont="1" applyFill="1" applyBorder="1" applyAlignment="1">
      <alignment horizontal="center" vertical="center"/>
    </xf>
    <xf numFmtId="44" fontId="0" fillId="13" borderId="1" xfId="0" applyNumberFormat="1" applyFill="1" applyBorder="1"/>
    <xf numFmtId="0" fontId="18" fillId="0" borderId="7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/>
    </xf>
    <xf numFmtId="165" fontId="18" fillId="5" borderId="1" xfId="0" applyNumberFormat="1" applyFont="1" applyFill="1" applyBorder="1" applyAlignment="1">
      <alignment horizontal="center" vertical="center"/>
    </xf>
    <xf numFmtId="0" fontId="13" fillId="0" borderId="0" xfId="2" applyAlignment="1" applyProtection="1"/>
    <xf numFmtId="0" fontId="25" fillId="0" borderId="1" xfId="2" applyFont="1" applyBorder="1" applyAlignment="1" applyProtection="1"/>
    <xf numFmtId="44" fontId="18" fillId="5" borderId="1" xfId="1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/>
    </xf>
    <xf numFmtId="44" fontId="18" fillId="5" borderId="4" xfId="1" applyFont="1" applyFill="1" applyBorder="1" applyAlignment="1">
      <alignment horizontal="center"/>
    </xf>
    <xf numFmtId="44" fontId="23" fillId="5" borderId="4" xfId="1" applyFont="1" applyFill="1" applyBorder="1" applyAlignment="1">
      <alignment horizontal="center"/>
    </xf>
    <xf numFmtId="0" fontId="18" fillId="0" borderId="9" xfId="0" applyFont="1" applyBorder="1"/>
    <xf numFmtId="0" fontId="18" fillId="4" borderId="41" xfId="0" applyFont="1" applyFill="1" applyBorder="1" applyAlignment="1">
      <alignment wrapText="1"/>
    </xf>
    <xf numFmtId="0" fontId="18" fillId="0" borderId="41" xfId="0" applyFont="1" applyBorder="1" applyAlignment="1">
      <alignment horizontal="center" vertical="center"/>
    </xf>
    <xf numFmtId="165" fontId="18" fillId="0" borderId="4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2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165" fontId="0" fillId="0" borderId="0" xfId="0" applyNumberFormat="1" applyAlignment="1">
      <alignment horizontal="left"/>
    </xf>
    <xf numFmtId="0" fontId="27" fillId="0" borderId="0" xfId="0" applyFont="1" applyAlignment="1">
      <alignment horizontal="right"/>
    </xf>
    <xf numFmtId="165" fontId="0" fillId="0" borderId="0" xfId="0" applyNumberFormat="1"/>
    <xf numFmtId="0" fontId="28" fillId="5" borderId="0" xfId="0" applyFont="1" applyFill="1"/>
    <xf numFmtId="0" fontId="0" fillId="0" borderId="0" xfId="0" applyAlignment="1">
      <alignment horizontal="left"/>
    </xf>
    <xf numFmtId="165" fontId="24" fillId="0" borderId="0" xfId="0" applyNumberFormat="1" applyFont="1"/>
    <xf numFmtId="44" fontId="0" fillId="0" borderId="0" xfId="1" applyFont="1" applyAlignment="1">
      <alignment horizontal="center" vertical="center"/>
    </xf>
    <xf numFmtId="0" fontId="28" fillId="14" borderId="40" xfId="0" applyFont="1" applyFill="1" applyBorder="1"/>
    <xf numFmtId="0" fontId="28" fillId="14" borderId="7" xfId="0" applyFont="1" applyFill="1" applyBorder="1"/>
    <xf numFmtId="0" fontId="28" fillId="14" borderId="9" xfId="0" applyFont="1" applyFill="1" applyBorder="1"/>
    <xf numFmtId="165" fontId="29" fillId="0" borderId="0" xfId="0" applyNumberFormat="1" applyFont="1"/>
    <xf numFmtId="165" fontId="32" fillId="0" borderId="4" xfId="0" applyNumberFormat="1" applyFont="1" applyBorder="1" applyAlignment="1">
      <alignment horizontal="center" vertical="center"/>
    </xf>
    <xf numFmtId="44" fontId="32" fillId="12" borderId="4" xfId="1" applyFont="1" applyFill="1" applyBorder="1" applyAlignment="1">
      <alignment horizontal="center"/>
    </xf>
    <xf numFmtId="165" fontId="33" fillId="5" borderId="1" xfId="0" applyNumberFormat="1" applyFont="1" applyFill="1" applyBorder="1" applyAlignment="1">
      <alignment horizontal="center" vertical="center"/>
    </xf>
    <xf numFmtId="44" fontId="33" fillId="12" borderId="4" xfId="1" applyFont="1" applyFill="1" applyBorder="1" applyAlignment="1">
      <alignment horizontal="center"/>
    </xf>
    <xf numFmtId="44" fontId="33" fillId="4" borderId="41" xfId="1" applyFont="1" applyFill="1" applyBorder="1" applyAlignment="1">
      <alignment horizontal="center" vertical="center"/>
    </xf>
    <xf numFmtId="165" fontId="33" fillId="0" borderId="41" xfId="0" applyNumberFormat="1" applyFont="1" applyBorder="1" applyAlignment="1">
      <alignment horizontal="center" vertical="center"/>
    </xf>
    <xf numFmtId="14" fontId="34" fillId="0" borderId="0" xfId="0" applyNumberFormat="1" applyFont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44" fontId="23" fillId="12" borderId="1" xfId="1" applyFont="1" applyFill="1" applyBorder="1" applyAlignment="1">
      <alignment horizontal="center"/>
    </xf>
    <xf numFmtId="165" fontId="23" fillId="5" borderId="4" xfId="0" applyNumberFormat="1" applyFont="1" applyFill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0" fontId="25" fillId="12" borderId="1" xfId="2" applyFont="1" applyFill="1" applyBorder="1" applyAlignment="1" applyProtection="1"/>
    <xf numFmtId="165" fontId="23" fillId="0" borderId="1" xfId="0" applyNumberFormat="1" applyFont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18" fillId="11" borderId="1" xfId="0" applyFont="1" applyFill="1" applyBorder="1" applyAlignment="1">
      <alignment horizontal="center"/>
    </xf>
    <xf numFmtId="0" fontId="23" fillId="11" borderId="4" xfId="0" applyFon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0" fontId="21" fillId="15" borderId="2" xfId="0" applyFont="1" applyFill="1" applyBorder="1" applyAlignment="1">
      <alignment horizontal="center" vertical="center"/>
    </xf>
    <xf numFmtId="0" fontId="22" fillId="5" borderId="0" xfId="0" applyFont="1" applyFill="1"/>
    <xf numFmtId="0" fontId="30" fillId="5" borderId="39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44" fontId="11" fillId="0" borderId="13" xfId="0" applyNumberFormat="1" applyFont="1" applyBorder="1" applyAlignment="1">
      <alignment horizontal="center" vertical="center"/>
    </xf>
    <xf numFmtId="0" fontId="38" fillId="12" borderId="1" xfId="0" applyFont="1" applyFill="1" applyBorder="1" applyAlignment="1"/>
    <xf numFmtId="0" fontId="11" fillId="12" borderId="1" xfId="0" applyFont="1" applyFill="1" applyBorder="1" applyAlignment="1"/>
    <xf numFmtId="0" fontId="41" fillId="12" borderId="1" xfId="2" applyFont="1" applyFill="1" applyBorder="1" applyAlignment="1" applyProtection="1"/>
    <xf numFmtId="0" fontId="42" fillId="12" borderId="1" xfId="2" applyFont="1" applyFill="1" applyBorder="1" applyAlignment="1"/>
    <xf numFmtId="0" fontId="18" fillId="0" borderId="3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44" fontId="18" fillId="12" borderId="5" xfId="1" applyFont="1" applyFill="1" applyBorder="1" applyAlignment="1">
      <alignment horizontal="center" vertical="center"/>
    </xf>
    <xf numFmtId="165" fontId="18" fillId="0" borderId="5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44" fontId="18" fillId="12" borderId="1" xfId="1" applyFont="1" applyFill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44" fontId="18" fillId="12" borderId="41" xfId="1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center"/>
    </xf>
    <xf numFmtId="0" fontId="18" fillId="5" borderId="41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165" fontId="23" fillId="0" borderId="3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5" fontId="23" fillId="0" borderId="12" xfId="0" applyNumberFormat="1" applyFont="1" applyBorder="1" applyAlignment="1">
      <alignment horizontal="center" vertical="center"/>
    </xf>
    <xf numFmtId="0" fontId="41" fillId="12" borderId="5" xfId="2" applyFont="1" applyFill="1" applyBorder="1" applyAlignment="1" applyProtection="1"/>
    <xf numFmtId="0" fontId="41" fillId="12" borderId="41" xfId="2" applyFont="1" applyFill="1" applyBorder="1" applyAlignment="1" applyProtection="1"/>
    <xf numFmtId="0" fontId="25" fillId="12" borderId="12" xfId="2" applyFont="1" applyFill="1" applyBorder="1" applyAlignment="1" applyProtection="1"/>
    <xf numFmtId="0" fontId="23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25" fillId="12" borderId="4" xfId="2" applyFont="1" applyFill="1" applyBorder="1" applyAlignment="1" applyProtection="1"/>
    <xf numFmtId="0" fontId="25" fillId="12" borderId="3" xfId="2" applyFont="1" applyFill="1" applyBorder="1" applyAlignment="1" applyProtection="1"/>
    <xf numFmtId="0" fontId="23" fillId="12" borderId="43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44" fontId="33" fillId="12" borderId="3" xfId="1" applyFont="1" applyFill="1" applyBorder="1" applyAlignment="1">
      <alignment horizontal="center"/>
    </xf>
    <xf numFmtId="0" fontId="23" fillId="12" borderId="12" xfId="0" applyFont="1" applyFill="1" applyBorder="1" applyAlignment="1">
      <alignment horizontal="center" vertical="center"/>
    </xf>
    <xf numFmtId="44" fontId="33" fillId="12" borderId="12" xfId="1" applyFont="1" applyFill="1" applyBorder="1" applyAlignment="1">
      <alignment horizontal="center"/>
    </xf>
    <xf numFmtId="0" fontId="25" fillId="12" borderId="5" xfId="2" applyFont="1" applyFill="1" applyBorder="1" applyAlignment="1" applyProtection="1"/>
    <xf numFmtId="0" fontId="23" fillId="12" borderId="5" xfId="0" applyFont="1" applyFill="1" applyBorder="1" applyAlignment="1">
      <alignment horizontal="center" vertical="center"/>
    </xf>
    <xf numFmtId="0" fontId="25" fillId="12" borderId="41" xfId="2" applyFont="1" applyFill="1" applyBorder="1" applyAlignment="1" applyProtection="1"/>
    <xf numFmtId="0" fontId="23" fillId="12" borderId="42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44" fontId="23" fillId="12" borderId="5" xfId="1" applyFont="1" applyFill="1" applyBorder="1" applyAlignment="1">
      <alignment horizontal="center"/>
    </xf>
    <xf numFmtId="165" fontId="18" fillId="5" borderId="5" xfId="0" applyNumberFormat="1" applyFont="1" applyFill="1" applyBorder="1" applyAlignment="1">
      <alignment horizontal="center" vertical="center"/>
    </xf>
    <xf numFmtId="44" fontId="23" fillId="12" borderId="42" xfId="1" applyFont="1" applyFill="1" applyBorder="1" applyAlignment="1">
      <alignment horizontal="center"/>
    </xf>
    <xf numFmtId="165" fontId="18" fillId="5" borderId="41" xfId="0" applyNumberFormat="1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44" fontId="23" fillId="12" borderId="3" xfId="1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44" fontId="0" fillId="10" borderId="1" xfId="0" applyNumberFormat="1" applyFill="1" applyBorder="1"/>
    <xf numFmtId="44" fontId="0" fillId="10" borderId="0" xfId="0" applyNumberFormat="1" applyFill="1"/>
    <xf numFmtId="0" fontId="31" fillId="12" borderId="1" xfId="0" applyFont="1" applyFill="1" applyBorder="1" applyAlignment="1">
      <alignment horizontal="center" vertical="center"/>
    </xf>
    <xf numFmtId="0" fontId="13" fillId="0" borderId="0" xfId="2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7" fillId="12" borderId="1" xfId="0" applyFont="1" applyFill="1" applyBorder="1" applyAlignment="1">
      <alignment horizontal="center" vertical="center"/>
    </xf>
    <xf numFmtId="44" fontId="30" fillId="12" borderId="1" xfId="1" applyFont="1" applyFill="1" applyBorder="1" applyAlignment="1">
      <alignment horizontal="center" vertical="center"/>
    </xf>
    <xf numFmtId="0" fontId="23" fillId="11" borderId="12" xfId="0" applyFont="1" applyFill="1" applyBorder="1" applyAlignment="1">
      <alignment horizontal="center"/>
    </xf>
    <xf numFmtId="0" fontId="40" fillId="0" borderId="1" xfId="2" applyFont="1" applyBorder="1" applyAlignment="1" applyProtection="1">
      <alignment horizontal="left" vertical="center"/>
    </xf>
    <xf numFmtId="0" fontId="13" fillId="0" borderId="1" xfId="2" applyBorder="1" applyAlignment="1" applyProtection="1">
      <alignment horizontal="left" vertical="center"/>
    </xf>
    <xf numFmtId="0" fontId="41" fillId="12" borderId="1" xfId="2" applyFont="1" applyFill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44" fontId="0" fillId="10" borderId="1" xfId="0" applyNumberFormat="1" applyFill="1" applyBorder="1" applyAlignment="1">
      <alignment vertical="center"/>
    </xf>
    <xf numFmtId="0" fontId="13" fillId="0" borderId="0" xfId="2"/>
    <xf numFmtId="44" fontId="0" fillId="10" borderId="1" xfId="0" applyNumberFormat="1" applyFill="1" applyBorder="1" applyAlignment="1"/>
    <xf numFmtId="0" fontId="17" fillId="5" borderId="18" xfId="0" applyFont="1" applyFill="1" applyBorder="1" applyAlignment="1">
      <alignment horizontal="left" vertical="center" wrapText="1"/>
    </xf>
    <xf numFmtId="0" fontId="19" fillId="5" borderId="39" xfId="0" applyFont="1" applyFill="1" applyBorder="1" applyAlignment="1">
      <alignment horizontal="center" vertical="center"/>
    </xf>
    <xf numFmtId="44" fontId="18" fillId="5" borderId="39" xfId="1" applyFont="1" applyFill="1" applyBorder="1" applyAlignment="1">
      <alignment horizontal="center" vertical="center"/>
    </xf>
    <xf numFmtId="165" fontId="30" fillId="5" borderId="39" xfId="0" applyNumberFormat="1" applyFont="1" applyFill="1" applyBorder="1"/>
    <xf numFmtId="165" fontId="20" fillId="9" borderId="20" xfId="0" applyNumberFormat="1" applyFont="1" applyFill="1" applyBorder="1"/>
    <xf numFmtId="0" fontId="39" fillId="12" borderId="4" xfId="2" applyFont="1" applyFill="1" applyBorder="1" applyAlignment="1" applyProtection="1"/>
    <xf numFmtId="0" fontId="23" fillId="0" borderId="11" xfId="0" applyFont="1" applyBorder="1" applyAlignment="1">
      <alignment horizontal="center" vertical="center"/>
    </xf>
    <xf numFmtId="0" fontId="0" fillId="4" borderId="12" xfId="0" applyFill="1" applyBorder="1" applyAlignment="1">
      <alignment wrapText="1"/>
    </xf>
    <xf numFmtId="0" fontId="0" fillId="0" borderId="12" xfId="0" applyBorder="1"/>
    <xf numFmtId="0" fontId="23" fillId="11" borderId="12" xfId="0" applyFont="1" applyFill="1" applyBorder="1" applyAlignment="1">
      <alignment horizontal="center" vertical="center"/>
    </xf>
    <xf numFmtId="44" fontId="23" fillId="11" borderId="12" xfId="0" applyNumberFormat="1" applyFont="1" applyFill="1" applyBorder="1" applyAlignment="1">
      <alignment horizontal="center" vertical="center"/>
    </xf>
    <xf numFmtId="165" fontId="44" fillId="3" borderId="2" xfId="1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/>
    </xf>
    <xf numFmtId="0" fontId="45" fillId="11" borderId="1" xfId="0" applyFont="1" applyFill="1" applyBorder="1" applyAlignment="1">
      <alignment horizontal="center"/>
    </xf>
    <xf numFmtId="0" fontId="32" fillId="12" borderId="4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 applyProtection="1">
      <protection hidden="1"/>
    </xf>
    <xf numFmtId="44" fontId="37" fillId="0" borderId="8" xfId="0" applyNumberFormat="1" applyFont="1" applyBorder="1" applyProtection="1">
      <protection hidden="1"/>
    </xf>
    <xf numFmtId="0" fontId="0" fillId="0" borderId="1" xfId="0" applyBorder="1" applyAlignment="1">
      <alignment horizontal="center" vertical="center"/>
    </xf>
    <xf numFmtId="0" fontId="0" fillId="0" borderId="51" xfId="0" applyBorder="1"/>
    <xf numFmtId="49" fontId="0" fillId="0" borderId="0" xfId="0" applyNumberFormat="1"/>
    <xf numFmtId="0" fontId="9" fillId="0" borderId="43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37" fillId="0" borderId="0" xfId="0" applyFont="1" applyAlignment="1" applyProtection="1">
      <alignment horizontal="center" vertical="center"/>
      <protection hidden="1"/>
    </xf>
    <xf numFmtId="0" fontId="37" fillId="0" borderId="0" xfId="0" applyFont="1" applyProtection="1">
      <protection hidden="1"/>
    </xf>
    <xf numFmtId="0" fontId="37" fillId="0" borderId="2" xfId="0" applyFont="1" applyBorder="1" applyProtection="1">
      <protection hidden="1"/>
    </xf>
    <xf numFmtId="0" fontId="37" fillId="0" borderId="2" xfId="0" applyFont="1" applyBorder="1" applyAlignment="1" applyProtection="1">
      <alignment horizontal="center"/>
      <protection hidden="1"/>
    </xf>
    <xf numFmtId="0" fontId="37" fillId="0" borderId="48" xfId="0" applyFont="1" applyBorder="1" applyAlignment="1" applyProtection="1">
      <alignment horizontal="center"/>
      <protection hidden="1"/>
    </xf>
    <xf numFmtId="44" fontId="49" fillId="0" borderId="0" xfId="0" applyNumberFormat="1" applyFont="1" applyAlignment="1" applyProtection="1">
      <alignment horizontal="center" vertical="center"/>
      <protection hidden="1"/>
    </xf>
    <xf numFmtId="0" fontId="37" fillId="0" borderId="0" xfId="0" applyFont="1" applyProtection="1"/>
    <xf numFmtId="0" fontId="49" fillId="0" borderId="1" xfId="0" applyFont="1" applyBorder="1" applyAlignment="1" applyProtection="1">
      <alignment horizontal="right" vertical="center" wrapText="1"/>
      <protection hidden="1"/>
    </xf>
    <xf numFmtId="0" fontId="49" fillId="0" borderId="1" xfId="0" applyFont="1" applyBorder="1" applyAlignment="1" applyProtection="1">
      <alignment horizontal="center" vertical="center"/>
      <protection hidden="1"/>
    </xf>
    <xf numFmtId="0" fontId="37" fillId="0" borderId="1" xfId="0" applyFont="1" applyBorder="1" applyAlignment="1" applyProtection="1">
      <alignment horizontal="left" vertical="center"/>
      <protection hidden="1"/>
    </xf>
    <xf numFmtId="0" fontId="49" fillId="0" borderId="0" xfId="0" applyFont="1" applyProtection="1">
      <protection hidden="1"/>
    </xf>
    <xf numFmtId="0" fontId="49" fillId="0" borderId="32" xfId="0" applyFont="1" applyBorder="1" applyAlignment="1" applyProtection="1">
      <alignment horizontal="center" vertical="center"/>
      <protection hidden="1"/>
    </xf>
    <xf numFmtId="0" fontId="37" fillId="0" borderId="4" xfId="0" applyFont="1" applyBorder="1" applyAlignment="1" applyProtection="1">
      <alignment horizontal="left" vertical="center" wrapText="1"/>
      <protection hidden="1"/>
    </xf>
    <xf numFmtId="0" fontId="49" fillId="0" borderId="4" xfId="0" applyFont="1" applyBorder="1" applyAlignment="1" applyProtection="1">
      <alignment horizontal="center" vertical="center"/>
      <protection hidden="1"/>
    </xf>
    <xf numFmtId="44" fontId="37" fillId="0" borderId="4" xfId="0" applyNumberFormat="1" applyFont="1" applyBorder="1" applyAlignment="1" applyProtection="1">
      <alignment horizontal="left" vertical="center"/>
      <protection hidden="1"/>
    </xf>
    <xf numFmtId="0" fontId="37" fillId="0" borderId="27" xfId="0" applyFont="1" applyBorder="1" applyAlignment="1" applyProtection="1">
      <alignment horizontal="right" vertical="center"/>
      <protection hidden="1"/>
    </xf>
    <xf numFmtId="44" fontId="37" fillId="0" borderId="6" xfId="1" applyFont="1" applyBorder="1" applyAlignment="1" applyProtection="1">
      <alignment horizontal="left" vertical="center"/>
      <protection hidden="1"/>
    </xf>
    <xf numFmtId="0" fontId="37" fillId="0" borderId="1" xfId="0" applyFont="1" applyBorder="1" applyAlignment="1" applyProtection="1">
      <alignment horizontal="left" vertical="center" wrapText="1"/>
      <protection hidden="1"/>
    </xf>
    <xf numFmtId="0" fontId="49" fillId="0" borderId="7" xfId="0" applyFont="1" applyBorder="1" applyAlignment="1" applyProtection="1">
      <alignment horizontal="center" vertical="center"/>
      <protection hidden="1"/>
    </xf>
    <xf numFmtId="44" fontId="37" fillId="0" borderId="8" xfId="0" applyNumberFormat="1" applyFont="1" applyBorder="1" applyAlignment="1" applyProtection="1">
      <alignment horizontal="center" vertical="center"/>
      <protection hidden="1"/>
    </xf>
    <xf numFmtId="0" fontId="37" fillId="0" borderId="17" xfId="0" applyFont="1" applyBorder="1" applyAlignment="1" applyProtection="1">
      <alignment horizontal="right" vertical="center"/>
      <protection hidden="1"/>
    </xf>
    <xf numFmtId="44" fontId="37" fillId="0" borderId="35" xfId="1" applyFont="1" applyBorder="1" applyAlignment="1" applyProtection="1">
      <alignment horizontal="left" vertical="center"/>
      <protection hidden="1"/>
    </xf>
    <xf numFmtId="0" fontId="37" fillId="2" borderId="1" xfId="0" applyFont="1" applyFill="1" applyBorder="1" applyAlignment="1" applyProtection="1">
      <alignment horizontal="left" vertical="center"/>
      <protection hidden="1"/>
    </xf>
    <xf numFmtId="0" fontId="50" fillId="0" borderId="15" xfId="0" applyFont="1" applyBorder="1" applyAlignment="1" applyProtection="1">
      <alignment horizontal="right" vertical="center"/>
      <protection hidden="1"/>
    </xf>
    <xf numFmtId="44" fontId="49" fillId="3" borderId="13" xfId="1" applyFont="1" applyFill="1" applyBorder="1" applyAlignment="1" applyProtection="1">
      <alignment horizontal="left" vertical="center"/>
      <protection hidden="1"/>
    </xf>
    <xf numFmtId="0" fontId="37" fillId="2" borderId="1" xfId="0" applyFont="1" applyFill="1" applyBorder="1" applyAlignment="1" applyProtection="1">
      <alignment horizontal="left" vertical="center" wrapText="1"/>
      <protection hidden="1"/>
    </xf>
    <xf numFmtId="0" fontId="37" fillId="0" borderId="1" xfId="0" applyFont="1" applyBorder="1" applyAlignment="1" applyProtection="1">
      <alignment wrapText="1"/>
      <protection hidden="1"/>
    </xf>
    <xf numFmtId="0" fontId="37" fillId="0" borderId="4" xfId="0" applyFont="1" applyBorder="1" applyAlignment="1" applyProtection="1">
      <alignment vertical="center" wrapText="1"/>
      <protection hidden="1"/>
    </xf>
    <xf numFmtId="0" fontId="49" fillId="0" borderId="4" xfId="0" applyFont="1" applyBorder="1" applyAlignment="1" applyProtection="1">
      <alignment horizontal="center"/>
      <protection hidden="1"/>
    </xf>
    <xf numFmtId="0" fontId="37" fillId="0" borderId="4" xfId="0" applyFont="1" applyBorder="1" applyProtection="1">
      <protection hidden="1"/>
    </xf>
    <xf numFmtId="0" fontId="37" fillId="0" borderId="3" xfId="0" applyFont="1" applyBorder="1" applyAlignment="1" applyProtection="1">
      <alignment horizontal="right"/>
      <protection hidden="1"/>
    </xf>
    <xf numFmtId="0" fontId="49" fillId="0" borderId="7" xfId="0" applyFont="1" applyBorder="1" applyAlignment="1" applyProtection="1">
      <alignment horizontal="center"/>
      <protection hidden="1"/>
    </xf>
    <xf numFmtId="0" fontId="37" fillId="0" borderId="4" xfId="0" applyFont="1" applyBorder="1" applyAlignment="1" applyProtection="1">
      <alignment wrapText="1"/>
      <protection hidden="1"/>
    </xf>
    <xf numFmtId="0" fontId="37" fillId="0" borderId="4" xfId="0" applyFont="1" applyBorder="1" applyAlignment="1" applyProtection="1">
      <alignment horizontal="left" wrapText="1"/>
      <protection hidden="1"/>
    </xf>
    <xf numFmtId="44" fontId="37" fillId="0" borderId="4" xfId="0" applyNumberFormat="1" applyFont="1" applyBorder="1" applyProtection="1">
      <protection hidden="1"/>
    </xf>
    <xf numFmtId="0" fontId="49" fillId="0" borderId="9" xfId="0" applyFont="1" applyBorder="1" applyAlignment="1" applyProtection="1">
      <alignment horizontal="center"/>
      <protection hidden="1"/>
    </xf>
    <xf numFmtId="0" fontId="37" fillId="0" borderId="42" xfId="0" applyFont="1" applyBorder="1" applyAlignment="1" applyProtection="1">
      <alignment wrapText="1"/>
      <protection hidden="1"/>
    </xf>
    <xf numFmtId="0" fontId="49" fillId="0" borderId="42" xfId="0" applyFont="1" applyBorder="1" applyAlignment="1" applyProtection="1">
      <alignment horizontal="center"/>
      <protection hidden="1"/>
    </xf>
    <xf numFmtId="44" fontId="37" fillId="0" borderId="42" xfId="0" applyNumberFormat="1" applyFont="1" applyBorder="1" applyProtection="1">
      <protection hidden="1"/>
    </xf>
    <xf numFmtId="44" fontId="37" fillId="0" borderId="10" xfId="0" applyNumberFormat="1" applyFont="1" applyBorder="1" applyProtection="1">
      <protection hidden="1"/>
    </xf>
    <xf numFmtId="0" fontId="37" fillId="0" borderId="0" xfId="0" applyFont="1" applyAlignment="1" applyProtection="1">
      <alignment vertical="center"/>
      <protection hidden="1"/>
    </xf>
    <xf numFmtId="164" fontId="52" fillId="3" borderId="1" xfId="0" applyNumberFormat="1" applyFont="1" applyFill="1" applyBorder="1" applyAlignment="1" applyProtection="1">
      <alignment horizontal="left" vertical="center"/>
      <protection hidden="1"/>
    </xf>
    <xf numFmtId="0" fontId="52" fillId="0" borderId="0" xfId="0" applyFont="1" applyProtection="1">
      <protection hidden="1"/>
    </xf>
    <xf numFmtId="44" fontId="0" fillId="0" borderId="1" xfId="1" applyFont="1" applyBorder="1" applyAlignment="1">
      <alignment horizontal="center" vertical="center"/>
    </xf>
    <xf numFmtId="0" fontId="53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55" fillId="0" borderId="0" xfId="0" applyFont="1" applyAlignment="1" applyProtection="1">
      <alignment horizontal="right" vertical="center"/>
      <protection hidden="1"/>
    </xf>
    <xf numFmtId="0" fontId="51" fillId="7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4" fontId="11" fillId="0" borderId="31" xfId="1" applyFont="1" applyBorder="1"/>
    <xf numFmtId="0" fontId="0" fillId="0" borderId="24" xfId="0" applyBorder="1"/>
    <xf numFmtId="0" fontId="0" fillId="0" borderId="25" xfId="0" applyBorder="1"/>
    <xf numFmtId="165" fontId="32" fillId="0" borderId="14" xfId="0" applyNumberFormat="1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2" fontId="18" fillId="5" borderId="33" xfId="0" applyNumberFormat="1" applyFont="1" applyFill="1" applyBorder="1" applyAlignment="1">
      <alignment horizontal="center" vertical="center"/>
    </xf>
    <xf numFmtId="2" fontId="18" fillId="5" borderId="46" xfId="0" applyNumberFormat="1" applyFont="1" applyFill="1" applyBorder="1" applyAlignment="1">
      <alignment horizontal="center" vertical="center"/>
    </xf>
    <xf numFmtId="0" fontId="41" fillId="12" borderId="4" xfId="2" applyFont="1" applyFill="1" applyBorder="1" applyAlignment="1" applyProtection="1"/>
    <xf numFmtId="0" fontId="43" fillId="0" borderId="4" xfId="0" applyFont="1" applyBorder="1" applyAlignment="1">
      <alignment horizontal="center" vertical="center"/>
    </xf>
    <xf numFmtId="44" fontId="18" fillId="12" borderId="4" xfId="1" applyFont="1" applyFill="1" applyBorder="1" applyAlignment="1">
      <alignment horizontal="center" vertical="center"/>
    </xf>
    <xf numFmtId="165" fontId="18" fillId="0" borderId="4" xfId="0" applyNumberFormat="1" applyFont="1" applyBorder="1" applyAlignment="1">
      <alignment horizontal="center" vertical="center"/>
    </xf>
    <xf numFmtId="2" fontId="18" fillId="5" borderId="6" xfId="0" applyNumberFormat="1" applyFont="1" applyFill="1" applyBorder="1" applyAlignment="1">
      <alignment horizontal="center" vertical="center"/>
    </xf>
    <xf numFmtId="2" fontId="18" fillId="5" borderId="47" xfId="0" applyNumberFormat="1" applyFont="1" applyFill="1" applyBorder="1" applyAlignment="1">
      <alignment horizontal="center" vertical="center"/>
    </xf>
    <xf numFmtId="0" fontId="41" fillId="12" borderId="3" xfId="2" applyFont="1" applyFill="1" applyBorder="1" applyAlignment="1" applyProtection="1"/>
    <xf numFmtId="0" fontId="43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4" fontId="18" fillId="12" borderId="3" xfId="1" applyFont="1" applyFill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23" fillId="11" borderId="43" xfId="0" applyFont="1" applyFill="1" applyBorder="1" applyAlignment="1">
      <alignment horizontal="center"/>
    </xf>
    <xf numFmtId="165" fontId="33" fillId="5" borderId="3" xfId="0" applyNumberFormat="1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/>
    </xf>
    <xf numFmtId="2" fontId="18" fillId="5" borderId="13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1" fillId="17" borderId="1" xfId="0" applyFont="1" applyFill="1" applyBorder="1" applyAlignment="1" applyProtection="1">
      <alignment horizontal="center" vertical="center"/>
      <protection locked="0" hidden="1"/>
    </xf>
    <xf numFmtId="0" fontId="49" fillId="17" borderId="1" xfId="0" applyFont="1" applyFill="1" applyBorder="1" applyAlignment="1" applyProtection="1">
      <alignment horizontal="right" vertical="center" wrapText="1"/>
      <protection hidden="1"/>
    </xf>
    <xf numFmtId="0" fontId="49" fillId="16" borderId="1" xfId="0" applyFont="1" applyFill="1" applyBorder="1" applyAlignment="1" applyProtection="1">
      <alignment horizontal="right" vertical="center" wrapText="1"/>
      <protection hidden="1"/>
    </xf>
    <xf numFmtId="44" fontId="37" fillId="13" borderId="1" xfId="0" applyNumberFormat="1" applyFont="1" applyFill="1" applyBorder="1"/>
    <xf numFmtId="0" fontId="0" fillId="0" borderId="1" xfId="0" applyBorder="1" applyAlignment="1">
      <alignment horizontal="left" vertical="center"/>
    </xf>
    <xf numFmtId="44" fontId="37" fillId="0" borderId="13" xfId="0" applyNumberFormat="1" applyFont="1" applyBorder="1" applyAlignment="1">
      <alignment horizontal="center" vertical="center"/>
    </xf>
    <xf numFmtId="44" fontId="57" fillId="11" borderId="12" xfId="1" applyFont="1" applyFill="1" applyBorder="1" applyAlignment="1">
      <alignment horizontal="center"/>
    </xf>
    <xf numFmtId="44" fontId="9" fillId="3" borderId="1" xfId="0" applyNumberFormat="1" applyFont="1" applyFill="1" applyBorder="1"/>
    <xf numFmtId="44" fontId="9" fillId="11" borderId="12" xfId="1" applyFont="1" applyFill="1" applyBorder="1"/>
    <xf numFmtId="44" fontId="10" fillId="0" borderId="4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64" fontId="58" fillId="12" borderId="1" xfId="0" applyNumberFormat="1" applyFont="1" applyFill="1" applyBorder="1"/>
    <xf numFmtId="164" fontId="59" fillId="12" borderId="1" xfId="0" applyNumberFormat="1" applyFont="1" applyFill="1" applyBorder="1"/>
    <xf numFmtId="9" fontId="0" fillId="0" borderId="0" xfId="0" applyNumberFormat="1" applyAlignment="1">
      <alignment horizontal="left"/>
    </xf>
    <xf numFmtId="0" fontId="28" fillId="0" borderId="0" xfId="0" applyFont="1"/>
    <xf numFmtId="165" fontId="43" fillId="0" borderId="0" xfId="0" applyNumberFormat="1" applyFont="1"/>
    <xf numFmtId="0" fontId="43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14" fillId="0" borderId="0" xfId="0" applyNumberFormat="1" applyFont="1"/>
    <xf numFmtId="0" fontId="0" fillId="0" borderId="1" xfId="0" applyFill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0" fontId="51" fillId="2" borderId="1" xfId="0" applyFont="1" applyFill="1" applyBorder="1" applyAlignment="1" applyProtection="1">
      <alignment horizontal="center" vertical="center"/>
      <protection locked="0" hidden="1"/>
    </xf>
    <xf numFmtId="0" fontId="52" fillId="16" borderId="1" xfId="0" applyFont="1" applyFill="1" applyBorder="1" applyAlignment="1" applyProtection="1">
      <alignment horizontal="center" vertical="center"/>
      <protection locked="0" hidden="1"/>
    </xf>
    <xf numFmtId="44" fontId="38" fillId="0" borderId="4" xfId="0" applyNumberFormat="1" applyFont="1" applyBorder="1" applyAlignment="1" applyProtection="1">
      <alignment horizontal="left" vertical="center"/>
      <protection hidden="1"/>
    </xf>
    <xf numFmtId="0" fontId="60" fillId="0" borderId="1" xfId="2" applyFont="1" applyBorder="1" applyAlignment="1" applyProtection="1">
      <alignment horizontal="left" vertical="center" wrapText="1"/>
      <protection hidden="1"/>
    </xf>
    <xf numFmtId="0" fontId="49" fillId="2" borderId="1" xfId="0" applyFont="1" applyFill="1" applyBorder="1" applyAlignment="1" applyProtection="1">
      <alignment horizontal="left" vertical="center" wrapText="1"/>
      <protection hidden="1"/>
    </xf>
    <xf numFmtId="0" fontId="54" fillId="0" borderId="40" xfId="0" applyFont="1" applyBorder="1" applyAlignment="1" applyProtection="1">
      <alignment horizontal="center" vertical="center"/>
      <protection hidden="1"/>
    </xf>
    <xf numFmtId="0" fontId="54" fillId="0" borderId="7" xfId="0" applyFont="1" applyBorder="1" applyAlignment="1" applyProtection="1">
      <alignment horizontal="center" vertical="center"/>
      <protection hidden="1"/>
    </xf>
    <xf numFmtId="0" fontId="54" fillId="0" borderId="9" xfId="0" applyFont="1" applyBorder="1" applyAlignment="1" applyProtection="1">
      <alignment horizontal="center" vertical="center"/>
      <protection hidden="1"/>
    </xf>
    <xf numFmtId="0" fontId="37" fillId="0" borderId="24" xfId="0" applyFont="1" applyBorder="1" applyAlignment="1" applyProtection="1">
      <alignment horizontal="left" vertical="center"/>
      <protection hidden="1"/>
    </xf>
    <xf numFmtId="0" fontId="37" fillId="0" borderId="25" xfId="0" applyFont="1" applyBorder="1" applyAlignment="1" applyProtection="1">
      <alignment horizontal="left" vertical="center"/>
      <protection hidden="1"/>
    </xf>
    <xf numFmtId="0" fontId="37" fillId="0" borderId="19" xfId="0" applyFont="1" applyBorder="1" applyAlignment="1" applyProtection="1">
      <alignment horizontal="left" vertical="center"/>
      <protection hidden="1"/>
    </xf>
    <xf numFmtId="0" fontId="37" fillId="0" borderId="20" xfId="0" applyFont="1" applyBorder="1" applyAlignment="1" applyProtection="1">
      <alignment horizontal="left" vertical="center"/>
      <protection hidden="1"/>
    </xf>
    <xf numFmtId="0" fontId="37" fillId="0" borderId="0" xfId="0" applyFont="1" applyBorder="1" applyAlignment="1" applyProtection="1">
      <alignment horizontal="left" vertical="center"/>
      <protection hidden="1"/>
    </xf>
    <xf numFmtId="0" fontId="37" fillId="0" borderId="22" xfId="0" applyFont="1" applyBorder="1" applyAlignment="1" applyProtection="1">
      <alignment horizontal="left" vertical="center"/>
      <protection hidden="1"/>
    </xf>
    <xf numFmtId="0" fontId="37" fillId="0" borderId="0" xfId="0" applyFont="1" applyBorder="1" applyAlignment="1" applyProtection="1">
      <alignment horizontal="left" vertical="center"/>
    </xf>
    <xf numFmtId="0" fontId="37" fillId="0" borderId="22" xfId="0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6" fillId="0" borderId="52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9" xfId="0" applyBorder="1" applyAlignment="1">
      <alignment horizontal="right"/>
    </xf>
    <xf numFmtId="0" fontId="18" fillId="0" borderId="18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44" fontId="0" fillId="10" borderId="1" xfId="0" applyNumberFormat="1" applyFill="1" applyBorder="1" applyAlignment="1">
      <alignment horizontal="center" vertical="center"/>
    </xf>
    <xf numFmtId="44" fontId="0" fillId="10" borderId="1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6" xfId="0" applyBorder="1" applyAlignment="1">
      <alignment horizont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microsoft.com/office/2006/relationships/vbaProject" Target="vbaProject.bin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!!&#1055;&#1056;&#1054;&#1048;&#1047;&#1042;&#1054;&#1044;&#1057;&#1058;&#1042;&#1054;%20&#1053;&#1048;&#1050;&#1086;&#1084;!!!\&#1041;&#1040;&#1047;&#1040;%20&#1082;&#1086;&#1084;&#1087;&#1086;&#1085;&#1077;&#1085;&#1090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&#1059;&#1095;&#1077;&#1090;%20&#1055;&#1056;&#1048;&#1041;&#1054;&#1056;&#1054;&#1042;%20&#1057;&#1055;&#1041;\&#1062;&#1045;&#1053;&#1067;\&#1055;&#1088;&#1072;&#1081;&#1089;%20&#1085;&#1072;%20&#1073;&#1083;&#1086;&#1082;&#1080;%20&#1041;&#10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&#1055;&#1056;&#1054;&#1048;&#1047;&#1042;&#1054;&#1044;&#1057;&#1058;&#1042;&#1054;%20&#1053;&#1048;&#1050;&#1086;&#1084;!!!\&#1041;&#1040;&#1047;&#1040;%20&#1082;&#1086;&#1084;&#1087;&#1086;&#1085;&#1077;&#1085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ёт ЭЭ"/>
      <sheetName val="УСТР-ВА"/>
      <sheetName val="Корпуса"/>
      <sheetName val="Автоматы"/>
      <sheetName val="Контакторы"/>
      <sheetName val="Кнопки, переключатели"/>
      <sheetName val="Лампы"/>
      <sheetName val="Реле"/>
      <sheetName val="Клеммы"/>
      <sheetName val="Провода, шины"/>
      <sheetName val="крепёж"/>
      <sheetName val="Датчики"/>
    </sheetNames>
    <sheetDataSet>
      <sheetData sheetId="0" refreshError="1"/>
      <sheetData sheetId="1" refreshError="1">
        <row r="144">
          <cell r="D144">
            <v>615.30999999999995</v>
          </cell>
        </row>
      </sheetData>
      <sheetData sheetId="2" refreshError="1">
        <row r="21">
          <cell r="F21">
            <v>7120</v>
          </cell>
        </row>
        <row r="29">
          <cell r="F29">
            <v>3352</v>
          </cell>
        </row>
        <row r="30">
          <cell r="F30">
            <v>2634.4</v>
          </cell>
        </row>
        <row r="31">
          <cell r="F31">
            <v>2056</v>
          </cell>
        </row>
      </sheetData>
      <sheetData sheetId="3" refreshError="1">
        <row r="14">
          <cell r="H14">
            <v>160.61000000000001</v>
          </cell>
        </row>
        <row r="15">
          <cell r="H15">
            <v>160.61000000000001</v>
          </cell>
        </row>
        <row r="16">
          <cell r="H16">
            <v>139.31</v>
          </cell>
        </row>
        <row r="17">
          <cell r="H17">
            <v>134.94</v>
          </cell>
        </row>
        <row r="19">
          <cell r="H19">
            <v>118.55</v>
          </cell>
        </row>
        <row r="20">
          <cell r="H20">
            <v>137.66</v>
          </cell>
        </row>
        <row r="21">
          <cell r="H21">
            <v>114.72</v>
          </cell>
        </row>
        <row r="22">
          <cell r="H22">
            <v>127.28</v>
          </cell>
        </row>
        <row r="23">
          <cell r="H23">
            <v>134.94</v>
          </cell>
        </row>
        <row r="332">
          <cell r="H332">
            <v>481.27</v>
          </cell>
        </row>
        <row r="333">
          <cell r="H333">
            <v>495.48</v>
          </cell>
        </row>
        <row r="334">
          <cell r="H334">
            <v>414.07</v>
          </cell>
        </row>
        <row r="335">
          <cell r="H335">
            <v>398.24</v>
          </cell>
        </row>
        <row r="336">
          <cell r="H336">
            <v>368.75</v>
          </cell>
        </row>
        <row r="337">
          <cell r="H337">
            <v>426.1</v>
          </cell>
        </row>
        <row r="338">
          <cell r="H338">
            <v>408.61</v>
          </cell>
        </row>
        <row r="339">
          <cell r="H339">
            <v>423.37</v>
          </cell>
        </row>
        <row r="340">
          <cell r="H340">
            <v>427.74</v>
          </cell>
        </row>
        <row r="345">
          <cell r="H345">
            <v>160.07</v>
          </cell>
          <cell r="I345" t="str">
            <v>11149DEK</v>
          </cell>
        </row>
        <row r="350">
          <cell r="H350">
            <v>1813.63</v>
          </cell>
        </row>
        <row r="351">
          <cell r="H351">
            <v>1808.17</v>
          </cell>
        </row>
        <row r="468">
          <cell r="A468" t="str">
            <v>Выключатель автоматический однополюсный 1А С ВА-101 4.5кА (11049DEK)</v>
          </cell>
        </row>
      </sheetData>
      <sheetData sheetId="4" refreshError="1">
        <row r="4">
          <cell r="G4">
            <v>517.39</v>
          </cell>
        </row>
        <row r="5">
          <cell r="G5">
            <v>466.84</v>
          </cell>
        </row>
        <row r="17">
          <cell r="G17">
            <v>630.79</v>
          </cell>
        </row>
        <row r="18">
          <cell r="G18">
            <v>799.94</v>
          </cell>
        </row>
      </sheetData>
      <sheetData sheetId="5" refreshError="1">
        <row r="6">
          <cell r="F6">
            <v>228.78</v>
          </cell>
        </row>
        <row r="22">
          <cell r="F22">
            <v>257.04000000000002</v>
          </cell>
        </row>
      </sheetData>
      <sheetData sheetId="6" refreshError="1">
        <row r="3">
          <cell r="G3">
            <v>93.7</v>
          </cell>
        </row>
        <row r="5">
          <cell r="G5">
            <v>93.7</v>
          </cell>
        </row>
        <row r="6">
          <cell r="G6">
            <v>91.15</v>
          </cell>
        </row>
      </sheetData>
      <sheetData sheetId="7" refreshError="1">
        <row r="99">
          <cell r="A99" t="str">
            <v>Реле миниатюрное электромеханическое низкопрофильное, Контакты: 2CO (AgNi), напряжение 230В AC, номинальный ток 8А, прозрачный корпус, IP40, RTII. RM84-2012-25-5230-RUS</v>
          </cell>
          <cell r="G99">
            <v>170</v>
          </cell>
        </row>
        <row r="100">
          <cell r="A100" t="str">
            <v>Колодка с винтовыми зажимами для реле серии RM84, RM85,RM87L/P; цвет серый ( в комплекте шильдик маркировочный GZT80-0035). GZM80-gray</v>
          </cell>
          <cell r="G100">
            <v>113</v>
          </cell>
        </row>
        <row r="101">
          <cell r="A101" t="str">
            <v>Фиксатор металлический для реле RM84, RM85, RM87, для колодок GZT80, GZM80, GZF80, GZT92, GZM92. GZM80-0041</v>
          </cell>
          <cell r="G101">
            <v>11</v>
          </cell>
        </row>
        <row r="103">
          <cell r="A103" t="str">
            <v>Реле промышленное миниатюрное; монтаж в колодку; Контакты: 4CO (AgNi), напряжение 230В AC, номинальный ток 6А, опции: кнопка тест + мех.индикатор. R4N-2014-23-5230-WT</v>
          </cell>
          <cell r="G103">
            <v>224</v>
          </cell>
        </row>
        <row r="104">
          <cell r="A104" t="str">
            <v>Колодка с винтовыми зажимами (75*27*61мм) для реле серии R4N, T-R4;
цвет серый. GZM4-gray</v>
          </cell>
          <cell r="G104">
            <v>159</v>
          </cell>
        </row>
        <row r="105">
          <cell r="A105" t="str">
            <v>Фиксатор металлический для реле R2N, R3N, R4N для колодок GZM2,
GZT2, GZM3, GZT3, GZM4, GZT4, GZMB4, GZ4, GZP4. G4 1052</v>
          </cell>
          <cell r="G105">
            <v>11</v>
          </cell>
        </row>
      </sheetData>
      <sheetData sheetId="8" refreshError="1">
        <row r="111">
          <cell r="E111">
            <v>31.54975</v>
          </cell>
        </row>
        <row r="113">
          <cell r="E113">
            <v>31.54975</v>
          </cell>
        </row>
        <row r="115">
          <cell r="E115">
            <v>111.63760000000001</v>
          </cell>
        </row>
        <row r="116">
          <cell r="E116">
            <v>27.909400000000002</v>
          </cell>
        </row>
        <row r="118">
          <cell r="E118">
            <v>27.909400000000002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-1"/>
      <sheetName val="БР-1М"/>
      <sheetName val="БР-2"/>
      <sheetName val="БР-4"/>
      <sheetName val="БР-5"/>
      <sheetName val="UART_USB_CP2102_БР-1М"/>
      <sheetName val="Вспомогательный"/>
      <sheetName val="АА"/>
    </sheetNames>
    <sheetDataSet>
      <sheetData sheetId="0">
        <row r="59">
          <cell r="D59">
            <v>3543</v>
          </cell>
        </row>
      </sheetData>
      <sheetData sheetId="1">
        <row r="61">
          <cell r="D61">
            <v>3493</v>
          </cell>
        </row>
        <row r="62">
          <cell r="D62">
            <v>4248</v>
          </cell>
        </row>
      </sheetData>
      <sheetData sheetId="2">
        <row r="71">
          <cell r="D71">
            <v>485</v>
          </cell>
        </row>
      </sheetData>
      <sheetData sheetId="3">
        <row r="52">
          <cell r="D52">
            <v>3686</v>
          </cell>
        </row>
        <row r="55">
          <cell r="D55">
            <v>3632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ёт ЭЭ"/>
      <sheetName val="УСТР-ВА"/>
      <sheetName val="Корпуса"/>
      <sheetName val="БР"/>
      <sheetName val="Автоматы"/>
      <sheetName val="Контакторы"/>
      <sheetName val="Кнопки, переключатели"/>
      <sheetName val="Лампы"/>
      <sheetName val="Реле"/>
      <sheetName val="Клеммы"/>
      <sheetName val="Провода, шины"/>
      <sheetName val="крепёж"/>
      <sheetName val="Датчики"/>
      <sheetName val="ПЧ"/>
      <sheetName val="УПП"/>
      <sheetName val="Блоки АВР"/>
      <sheetName val="ВНЕСТИ"/>
    </sheetNames>
    <sheetDataSet>
      <sheetData sheetId="0"/>
      <sheetData sheetId="1"/>
      <sheetData sheetId="2">
        <row r="23">
          <cell r="F23">
            <v>9035.2000000000007</v>
          </cell>
        </row>
        <row r="25">
          <cell r="F25">
            <v>6446.8</v>
          </cell>
        </row>
        <row r="27">
          <cell r="F27">
            <v>4999.6000000000004</v>
          </cell>
        </row>
        <row r="160">
          <cell r="F160">
            <v>16753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loud.mail.ru/public/CtmX/ikMoRaeXC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lemsan.spb.ru/304120?search=304120" TargetMode="External"/><Relationship Id="rId18" Type="http://schemas.openxmlformats.org/officeDocument/2006/relationships/hyperlink" Target="https://ipro.etm.ru/cat/descsc.html?nn=9810734&amp;st=11" TargetMode="External"/><Relationship Id="rId26" Type="http://schemas.openxmlformats.org/officeDocument/2006/relationships/hyperlink" Target="https://ipro.etm.ru/cat/descsc.html?nn=9810733&amp;st=11" TargetMode="External"/><Relationship Id="rId3" Type="http://schemas.openxmlformats.org/officeDocument/2006/relationships/hyperlink" Target="https://ipro.etm.ru/cat/descsc.html?nn=8819861&amp;st=11" TargetMode="External"/><Relationship Id="rId21" Type="http://schemas.openxmlformats.org/officeDocument/2006/relationships/hyperlink" Target="https://ipro.etm.ru/cat/descsc.html?nn=9810737&amp;st=11" TargetMode="External"/><Relationship Id="rId7" Type="http://schemas.openxmlformats.org/officeDocument/2006/relationships/hyperlink" Target="https://www.klemsan.spb.ru/Klemmy/screw-clamps/304131" TargetMode="External"/><Relationship Id="rId12" Type="http://schemas.openxmlformats.org/officeDocument/2006/relationships/hyperlink" Target="https://www.klemsan.spb.ru/304120?search=304120" TargetMode="External"/><Relationship Id="rId17" Type="http://schemas.openxmlformats.org/officeDocument/2006/relationships/hyperlink" Target="https://ipro.etm.ru/cat/descsc.html?nn=9811199&amp;st=11" TargetMode="External"/><Relationship Id="rId25" Type="http://schemas.openxmlformats.org/officeDocument/2006/relationships/hyperlink" Target="https://ipro.etm.ru/cat/descsc.html?nn=9810732&amp;st=11" TargetMode="External"/><Relationship Id="rId33" Type="http://schemas.openxmlformats.org/officeDocument/2006/relationships/comments" Target="../comments1.xml"/><Relationship Id="rId2" Type="http://schemas.openxmlformats.org/officeDocument/2006/relationships/hyperlink" Target="https://ipro.etm.ru/cat/descsc.html?nn=9811250&amp;st=11" TargetMode="External"/><Relationship Id="rId16" Type="http://schemas.openxmlformats.org/officeDocument/2006/relationships/hyperlink" Target="https://ipro.etm.ru/cat/descsc.html?nn=9811200&amp;st=11" TargetMode="External"/><Relationship Id="rId20" Type="http://schemas.openxmlformats.org/officeDocument/2006/relationships/hyperlink" Target="https://ipro.etm.ru/cat/descsc.html?nn=9810736&amp;st=11" TargetMode="External"/><Relationship Id="rId29" Type="http://schemas.openxmlformats.org/officeDocument/2006/relationships/hyperlink" Target="https://ipro.etm.ru/cat/descsc.html?nn=1256427&amp;st=11" TargetMode="External"/><Relationship Id="rId1" Type="http://schemas.openxmlformats.org/officeDocument/2006/relationships/hyperlink" Target="https://ipro.etm.ru/cat/descsc.html?nn=9810729&amp;st=11" TargetMode="External"/><Relationship Id="rId6" Type="http://schemas.openxmlformats.org/officeDocument/2006/relationships/hyperlink" Target="https://www.klemsan.spb.ru/Klemmy/screw-clamps/304130" TargetMode="External"/><Relationship Id="rId11" Type="http://schemas.openxmlformats.org/officeDocument/2006/relationships/hyperlink" Target="https://www.klemsan.spb.ru/Klemmy/screw-clamps/304121" TargetMode="External"/><Relationship Id="rId24" Type="http://schemas.openxmlformats.org/officeDocument/2006/relationships/hyperlink" Target="https://ipro.etm.ru/cat/descsc.html?nn=9810730&amp;st=11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s://e-components.ru/item/rs-15-12" TargetMode="External"/><Relationship Id="rId15" Type="http://schemas.openxmlformats.org/officeDocument/2006/relationships/hyperlink" Target="https://ipro.etm.ru/cat/descsc.html?nn=9811201&amp;st=11" TargetMode="External"/><Relationship Id="rId23" Type="http://schemas.openxmlformats.org/officeDocument/2006/relationships/hyperlink" Target="https://ipro.etm.ru/cat/descsc.html?nn=9810731&amp;st=11" TargetMode="External"/><Relationship Id="rId28" Type="http://schemas.openxmlformats.org/officeDocument/2006/relationships/hyperlink" Target="https://ipro.etm.ru/cat/descsc.html?nn=4521246&amp;st=11" TargetMode="External"/><Relationship Id="rId10" Type="http://schemas.openxmlformats.org/officeDocument/2006/relationships/hyperlink" Target="https://www.klemsan.spb.ru/304120?search=304120" TargetMode="External"/><Relationship Id="rId19" Type="http://schemas.openxmlformats.org/officeDocument/2006/relationships/hyperlink" Target="https://ipro.etm.ru/cat/descsc.html?nn=9810735&amp;st=11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ipro.etm.ru/cat/descsc.html?nn=9810730&amp;st=11" TargetMode="External"/><Relationship Id="rId9" Type="http://schemas.openxmlformats.org/officeDocument/2006/relationships/hyperlink" Target="https://www.klemsan.spb.ru/304120?search=304120" TargetMode="External"/><Relationship Id="rId14" Type="http://schemas.openxmlformats.org/officeDocument/2006/relationships/hyperlink" Target="https://www.klemsan.spb.ru/304120?search=304120" TargetMode="External"/><Relationship Id="rId22" Type="http://schemas.openxmlformats.org/officeDocument/2006/relationships/hyperlink" Target="https://ipro.etm.ru/cat/descsc.html?nn=9810729&amp;st=11" TargetMode="External"/><Relationship Id="rId27" Type="http://schemas.openxmlformats.org/officeDocument/2006/relationships/hyperlink" Target="https://ipro.etm.ru/cat/descsc.html?nn=2996028&amp;st=11" TargetMode="External"/><Relationship Id="rId30" Type="http://schemas.openxmlformats.org/officeDocument/2006/relationships/hyperlink" Target="https://ipro.etm.ru/cat/descsc.html?nn=8789452&amp;st=11" TargetMode="External"/><Relationship Id="rId8" Type="http://schemas.openxmlformats.org/officeDocument/2006/relationships/hyperlink" Target="https://www.klemsan.spb.ru/334120?search=%D0%B7%D0%B5%D0%BC%D0%BB%D1%8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3"/>
  <sheetViews>
    <sheetView tabSelected="1" zoomScale="80" zoomScaleNormal="80" workbookViewId="0">
      <pane ySplit="1" topLeftCell="A2" activePane="bottomLeft" state="frozen"/>
      <selection pane="bottomLeft" activeCell="H18" sqref="H18"/>
    </sheetView>
  </sheetViews>
  <sheetFormatPr defaultRowHeight="15" x14ac:dyDescent="0.25"/>
  <cols>
    <col min="1" max="1" width="21.7109375" customWidth="1"/>
    <col min="2" max="2" width="13.85546875" bestFit="1" customWidth="1"/>
    <col min="3" max="3" width="31.140625" customWidth="1"/>
    <col min="5" max="5" width="29" customWidth="1"/>
    <col min="6" max="7" width="4.28515625" customWidth="1"/>
    <col min="8" max="8" width="76.140625" customWidth="1"/>
    <col min="9" max="9" width="7.5703125" customWidth="1"/>
    <col min="10" max="10" width="11" bestFit="1" customWidth="1"/>
    <col min="11" max="11" width="14.5703125" bestFit="1" customWidth="1"/>
    <col min="12" max="12" width="16.140625" customWidth="1"/>
    <col min="13" max="13" width="14.85546875" customWidth="1"/>
    <col min="14" max="14" width="16" customWidth="1"/>
  </cols>
  <sheetData>
    <row r="1" spans="1:14" s="69" customFormat="1" ht="31.5" x14ac:dyDescent="0.25">
      <c r="A1" s="242"/>
      <c r="B1" s="287" t="s">
        <v>23</v>
      </c>
      <c r="C1" s="288" t="s">
        <v>25</v>
      </c>
      <c r="D1" s="289" t="s">
        <v>131</v>
      </c>
      <c r="E1" s="283">
        <f>Расёты!E36</f>
        <v>16318.523590000001</v>
      </c>
      <c r="F1" s="243"/>
      <c r="N1" s="248"/>
    </row>
    <row r="2" spans="1:14" s="69" customFormat="1" x14ac:dyDescent="0.25">
      <c r="A2" s="249" t="str">
        <f>Расёты!F3</f>
        <v>Наименование</v>
      </c>
      <c r="B2" s="250" t="s">
        <v>201</v>
      </c>
      <c r="C2" s="251" t="s">
        <v>218</v>
      </c>
      <c r="D2" s="252"/>
      <c r="E2" s="243"/>
      <c r="F2" s="243"/>
      <c r="N2" s="248"/>
    </row>
    <row r="3" spans="1:14" s="69" customFormat="1" ht="38.25" x14ac:dyDescent="0.25">
      <c r="A3" s="249" t="str">
        <f>Расёты!G3</f>
        <v>Тип клапана</v>
      </c>
      <c r="B3" s="290" t="s">
        <v>220</v>
      </c>
      <c r="C3" s="259" t="s">
        <v>409</v>
      </c>
      <c r="D3" s="243"/>
      <c r="E3" s="243"/>
      <c r="F3" s="243"/>
      <c r="N3" s="248"/>
    </row>
    <row r="4" spans="1:14" s="69" customFormat="1" ht="15.75" x14ac:dyDescent="0.25">
      <c r="A4" s="249" t="str">
        <f>Расёты!H3</f>
        <v>Входное напряжение</v>
      </c>
      <c r="B4" s="340">
        <v>230</v>
      </c>
      <c r="C4" s="264" t="s">
        <v>227</v>
      </c>
      <c r="D4" s="243"/>
      <c r="E4" s="243"/>
      <c r="F4" s="243"/>
      <c r="N4" s="248"/>
    </row>
    <row r="5" spans="1:14" s="69" customFormat="1" ht="38.25" x14ac:dyDescent="0.25">
      <c r="A5" s="249" t="str">
        <f>Расёты!J3</f>
        <v>Сепень защиты</v>
      </c>
      <c r="B5" s="290" t="s">
        <v>205</v>
      </c>
      <c r="C5" s="259" t="s">
        <v>410</v>
      </c>
      <c r="D5" s="243"/>
      <c r="E5" s="243"/>
      <c r="F5" s="243"/>
      <c r="N5" s="248"/>
    </row>
    <row r="6" spans="1:14" s="69" customFormat="1" ht="36" x14ac:dyDescent="0.25">
      <c r="A6" s="318" t="str">
        <f>Расёты!L3</f>
        <v>Способ контрля линий</v>
      </c>
      <c r="B6" s="317">
        <v>1</v>
      </c>
      <c r="C6" s="343" t="s">
        <v>437</v>
      </c>
      <c r="D6" s="243"/>
      <c r="E6" s="243"/>
      <c r="F6" s="243"/>
      <c r="N6" s="248"/>
    </row>
    <row r="7" spans="1:14" s="69" customFormat="1" ht="38.25" x14ac:dyDescent="0.25">
      <c r="A7" s="319" t="str">
        <f>Расёты!X3</f>
        <v>Количество пожарных зон (Сигналов "ПОЖАР")</v>
      </c>
      <c r="B7" s="341">
        <v>1</v>
      </c>
      <c r="C7" s="259" t="s">
        <v>411</v>
      </c>
      <c r="D7" s="243"/>
      <c r="E7" s="243"/>
      <c r="F7" s="243"/>
      <c r="N7" s="248"/>
    </row>
    <row r="8" spans="1:14" s="69" customFormat="1" ht="25.5" x14ac:dyDescent="0.25">
      <c r="A8" s="249" t="str">
        <f>CONCATENATE(Расёты!AS2,Расёты!AU2,Расёты!AQ1,Расёты!AS1)</f>
        <v xml:space="preserve">Количество клапанов 1-ой Пожарной зоны </v>
      </c>
      <c r="B8" s="290">
        <v>3</v>
      </c>
      <c r="C8" s="251" t="s">
        <v>226</v>
      </c>
      <c r="D8" s="243"/>
      <c r="E8" s="243">
        <v>5</v>
      </c>
      <c r="F8" s="243"/>
      <c r="N8" s="248"/>
    </row>
    <row r="9" spans="1:14" s="69" customFormat="1" ht="15.75" hidden="1" x14ac:dyDescent="0.25">
      <c r="A9" s="249">
        <f>IF(B7&lt;2,0,CONCATENATE(Расёты!AS2,Расёты!AV2,Расёты!AQ1,Расёты!AS1))</f>
        <v>0</v>
      </c>
      <c r="B9" s="290">
        <v>1</v>
      </c>
      <c r="C9" s="251" t="s">
        <v>226</v>
      </c>
      <c r="D9" s="243"/>
      <c r="E9" s="243"/>
      <c r="F9" s="243"/>
      <c r="N9" s="248"/>
    </row>
    <row r="10" spans="1:14" s="69" customFormat="1" ht="15.75" hidden="1" x14ac:dyDescent="0.25">
      <c r="A10" s="249" t="str">
        <f>IF(B7&lt;3,"0",CONCATENATE(Расёты!AS2,Расёты!AW2,Расёты!AR2,Расёты!AS1))</f>
        <v>0</v>
      </c>
      <c r="B10" s="290">
        <v>1</v>
      </c>
      <c r="C10" s="251" t="s">
        <v>226</v>
      </c>
      <c r="D10" s="243"/>
      <c r="E10" s="243"/>
      <c r="F10" s="243"/>
      <c r="N10" s="248"/>
    </row>
    <row r="11" spans="1:14" s="69" customFormat="1" ht="15.75" hidden="1" x14ac:dyDescent="0.25">
      <c r="A11" s="249" t="str">
        <f>IF(B7&lt;4,"0",CONCATENATE(Расёты!AS2,Расёты!AX2,Расёты!AQ1,Расёты!AS1))</f>
        <v>0</v>
      </c>
      <c r="B11" s="290">
        <v>1</v>
      </c>
      <c r="C11" s="251" t="s">
        <v>226</v>
      </c>
      <c r="D11" s="243"/>
      <c r="E11" s="243"/>
      <c r="F11" s="243"/>
      <c r="N11" s="248"/>
    </row>
    <row r="12" spans="1:14" s="69" customFormat="1" ht="15.75" hidden="1" x14ac:dyDescent="0.25">
      <c r="A12" s="249" t="str">
        <f>IF(B7&lt;5,"0",CONCATENATE(Расёты!AS2,Расёты!AY2,Расёты!AQ1,Расёты!AS1))</f>
        <v>0</v>
      </c>
      <c r="B12" s="290">
        <v>1</v>
      </c>
      <c r="C12" s="251" t="s">
        <v>226</v>
      </c>
      <c r="D12" s="243"/>
      <c r="E12" s="243"/>
      <c r="F12" s="243"/>
      <c r="N12" s="248"/>
    </row>
    <row r="13" spans="1:14" s="69" customFormat="1" ht="15.75" hidden="1" x14ac:dyDescent="0.25">
      <c r="A13" s="249" t="str">
        <f>IF(B7&lt;6,"0",CONCATENATE(Расёты!AS2,Расёты!AZ2,Расёты!AQ1,Расёты!AS1))</f>
        <v>0</v>
      </c>
      <c r="B13" s="290">
        <v>1</v>
      </c>
      <c r="C13" s="251" t="s">
        <v>226</v>
      </c>
      <c r="D13" s="243"/>
      <c r="E13" s="243"/>
      <c r="F13" s="243"/>
      <c r="N13" s="248"/>
    </row>
    <row r="14" spans="1:14" s="69" customFormat="1" ht="51" x14ac:dyDescent="0.25">
      <c r="A14" s="249" t="str">
        <f>Расёты!P3</f>
        <v>Напряжение питания привода</v>
      </c>
      <c r="B14" s="340">
        <v>230</v>
      </c>
      <c r="C14" s="267" t="s">
        <v>412</v>
      </c>
      <c r="D14" s="243"/>
      <c r="E14" s="243"/>
      <c r="F14" s="243"/>
      <c r="N14" s="248"/>
    </row>
    <row r="15" spans="1:14" s="69" customFormat="1" ht="38.25" x14ac:dyDescent="0.25">
      <c r="A15" s="249" t="str">
        <f>Расёты!R3</f>
        <v>Максимальный номинальный ток одного привода</v>
      </c>
      <c r="B15" s="340">
        <v>1</v>
      </c>
      <c r="C15" s="344" t="s">
        <v>438</v>
      </c>
      <c r="D15" s="243"/>
      <c r="E15" s="243"/>
      <c r="F15" s="243"/>
      <c r="N15" s="248"/>
    </row>
    <row r="16" spans="1:14" s="69" customFormat="1" ht="76.5" x14ac:dyDescent="0.25">
      <c r="A16" s="249" t="str">
        <f>Расёты!T3</f>
        <v>Тип управляющего сигнала</v>
      </c>
      <c r="B16" s="290" t="s">
        <v>214</v>
      </c>
      <c r="C16" s="259" t="s">
        <v>413</v>
      </c>
      <c r="D16" s="243"/>
      <c r="E16" s="243"/>
      <c r="F16" s="243"/>
      <c r="N16" s="248"/>
    </row>
    <row r="17" spans="1:14" s="69" customFormat="1" ht="51.75" x14ac:dyDescent="0.25">
      <c r="A17" s="249" t="str">
        <f>Расёты!Z3</f>
        <v>Диспетчеризация</v>
      </c>
      <c r="B17" s="290"/>
      <c r="C17" s="268" t="s">
        <v>417</v>
      </c>
      <c r="D17" s="243"/>
      <c r="E17" s="243"/>
      <c r="F17" s="243"/>
      <c r="N17" s="248"/>
    </row>
    <row r="18" spans="1:14" s="69" customFormat="1" ht="39" x14ac:dyDescent="0.25">
      <c r="A18" s="249" t="str">
        <f>Расёты!V3</f>
        <v>Индикация</v>
      </c>
      <c r="B18" s="290"/>
      <c r="C18" s="268" t="s">
        <v>414</v>
      </c>
      <c r="D18" s="243"/>
      <c r="E18" s="243"/>
      <c r="F18" s="243"/>
      <c r="N18" s="248"/>
    </row>
    <row r="19" spans="1:14" s="69" customFormat="1" ht="21.75" thickBot="1" x14ac:dyDescent="0.4">
      <c r="A19" s="272" t="s">
        <v>22</v>
      </c>
      <c r="B19" s="284" t="str">
        <f>Расёты!F20</f>
        <v>ЩУ-П НИКОМАКр-230-IP31-1[3/230/1-24D]</v>
      </c>
      <c r="C19" s="243"/>
      <c r="D19" s="243"/>
      <c r="E19" s="248"/>
      <c r="F19" s="243"/>
      <c r="N19" s="248"/>
    </row>
    <row r="20" spans="1:14" s="69" customFormat="1" x14ac:dyDescent="0.25">
      <c r="A20" s="243"/>
      <c r="B20" s="345" t="s">
        <v>24</v>
      </c>
      <c r="C20" s="350" t="str">
        <f>Расёты!I36</f>
        <v>Щит управления 3-мя клапанами, с косвенным контролем линий управления</v>
      </c>
      <c r="D20" s="350"/>
      <c r="E20" s="351"/>
      <c r="F20" s="243"/>
      <c r="N20" s="248"/>
    </row>
    <row r="21" spans="1:14" s="69" customFormat="1" ht="15" customHeight="1" x14ac:dyDescent="0.25">
      <c r="A21" s="243"/>
      <c r="B21" s="346"/>
      <c r="C21" s="352" t="str">
        <f>Расёты!I37</f>
        <v>С реверсивным приводом, 230В, Iном &lt; 1А</v>
      </c>
      <c r="D21" s="352"/>
      <c r="E21" s="353"/>
      <c r="F21" s="243"/>
      <c r="N21" s="248"/>
    </row>
    <row r="22" spans="1:14" s="69" customFormat="1" ht="15.75" customHeight="1" x14ac:dyDescent="0.25">
      <c r="A22" s="243"/>
      <c r="B22" s="346"/>
      <c r="C22" s="352" t="str">
        <f>Расёты!I38</f>
        <v>Корпус: ЩМП1 (395х310х220). Степень защиты оболочки IP31</v>
      </c>
      <c r="D22" s="352"/>
      <c r="E22" s="353"/>
      <c r="F22" s="243"/>
      <c r="N22" s="248"/>
    </row>
    <row r="23" spans="1:14" s="69" customFormat="1" ht="15.75" customHeight="1" x14ac:dyDescent="0.25">
      <c r="A23" s="243"/>
      <c r="B23" s="346"/>
      <c r="C23" s="352" t="str">
        <f>Расёты!I39</f>
        <v>Управляющий сигнал, от внешних устройств, типа: 24D (напряжение 24VDC)</v>
      </c>
      <c r="D23" s="352"/>
      <c r="E23" s="353"/>
      <c r="F23" s="243"/>
      <c r="N23" s="248"/>
    </row>
    <row r="24" spans="1:14" s="69" customFormat="1" ht="16.5" customHeight="1" x14ac:dyDescent="0.25">
      <c r="A24" s="243"/>
      <c r="B24" s="346"/>
      <c r="C24" s="354" t="str">
        <f>Расёты!C29</f>
        <v>Пожарных зон: 1 шт.</v>
      </c>
      <c r="D24" s="354"/>
      <c r="E24" s="355"/>
      <c r="F24" s="243"/>
      <c r="N24" s="248"/>
    </row>
    <row r="25" spans="1:14" s="69" customFormat="1" ht="15.75" customHeight="1" x14ac:dyDescent="0.25">
      <c r="A25" s="243"/>
      <c r="B25" s="346"/>
      <c r="C25" s="352" t="str">
        <f>Расёты!I40</f>
        <v/>
      </c>
      <c r="D25" s="352"/>
      <c r="E25" s="353"/>
      <c r="F25" s="243"/>
      <c r="N25" s="248"/>
    </row>
    <row r="26" spans="1:14" s="69" customFormat="1" ht="15.75" thickBot="1" x14ac:dyDescent="0.3">
      <c r="A26" s="243"/>
      <c r="B26" s="347"/>
      <c r="C26" s="348" t="str">
        <f>Расёты!I41</f>
        <v/>
      </c>
      <c r="D26" s="348"/>
      <c r="E26" s="349"/>
      <c r="F26" s="243"/>
      <c r="N26" s="248"/>
    </row>
    <row r="27" spans="1:14" s="69" customFormat="1" ht="21" x14ac:dyDescent="0.25">
      <c r="A27" s="243"/>
      <c r="B27" s="243"/>
      <c r="C27" s="243"/>
      <c r="D27" s="289" t="s">
        <v>131</v>
      </c>
      <c r="E27" s="283">
        <f>E1</f>
        <v>16318.523590000001</v>
      </c>
      <c r="F27" s="243"/>
      <c r="N27" s="248"/>
    </row>
    <row r="28" spans="1:14" s="69" customFormat="1" x14ac:dyDescent="0.25">
      <c r="A28" s="243"/>
      <c r="B28" s="243"/>
      <c r="C28" s="243"/>
      <c r="D28" s="243"/>
      <c r="E28" s="243"/>
      <c r="F28" s="243"/>
      <c r="N28" s="248"/>
    </row>
    <row r="29" spans="1:14" s="69" customFormat="1" x14ac:dyDescent="0.25">
      <c r="A29" s="243"/>
      <c r="B29" s="243"/>
      <c r="C29" s="243"/>
      <c r="D29" s="243"/>
      <c r="E29" s="243"/>
      <c r="F29" s="243"/>
      <c r="N29" s="248"/>
    </row>
    <row r="30" spans="1:14" s="69" customFormat="1" x14ac:dyDescent="0.25">
      <c r="A30" s="243"/>
      <c r="B30" s="243"/>
      <c r="C30" s="243"/>
      <c r="D30" s="243"/>
      <c r="E30" s="243"/>
      <c r="F30" s="243"/>
      <c r="N30" s="248"/>
    </row>
    <row r="31" spans="1:14" s="69" customFormat="1" ht="15" customHeight="1" x14ac:dyDescent="0.25">
      <c r="A31" s="243"/>
      <c r="B31" s="243"/>
      <c r="C31" s="243"/>
      <c r="D31" s="243"/>
      <c r="E31" s="243"/>
      <c r="F31" s="243"/>
      <c r="N31" s="248"/>
    </row>
    <row r="32" spans="1:14" s="69" customFormat="1" ht="15" customHeight="1" x14ac:dyDescent="0.25">
      <c r="A32" s="243"/>
      <c r="B32" s="243"/>
      <c r="C32" s="243"/>
      <c r="D32" s="243"/>
      <c r="E32" s="243"/>
      <c r="F32" s="243"/>
      <c r="N32" s="248"/>
    </row>
    <row r="33" spans="1:14" s="69" customFormat="1" ht="15" customHeight="1" x14ac:dyDescent="0.25">
      <c r="A33" s="243"/>
      <c r="B33" s="243"/>
      <c r="C33" s="243"/>
      <c r="D33" s="243"/>
      <c r="E33" s="243"/>
      <c r="F33" s="243"/>
      <c r="N33" s="248"/>
    </row>
    <row r="34" spans="1:14" s="69" customFormat="1" ht="15" customHeight="1" x14ac:dyDescent="0.25">
      <c r="A34" s="243"/>
      <c r="B34" s="243"/>
      <c r="C34" s="243"/>
      <c r="D34" s="243"/>
      <c r="E34" s="243"/>
      <c r="F34" s="243"/>
      <c r="N34" s="248"/>
    </row>
    <row r="35" spans="1:14" s="69" customFormat="1" ht="15" customHeight="1" x14ac:dyDescent="0.25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8"/>
    </row>
    <row r="36" spans="1:14" s="69" customFormat="1" x14ac:dyDescent="0.25">
      <c r="A36" s="282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8"/>
    </row>
    <row r="37" spans="1:14" s="69" customFormat="1" x14ac:dyDescent="0.25">
      <c r="A37" s="243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8"/>
    </row>
    <row r="38" spans="1:14" s="69" customFormat="1" x14ac:dyDescent="0.2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</row>
    <row r="39" spans="1:14" s="69" customFormat="1" x14ac:dyDescent="0.25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</row>
    <row r="40" spans="1:14" s="69" customFormat="1" x14ac:dyDescent="0.25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</row>
    <row r="41" spans="1:14" s="69" customFormat="1" x14ac:dyDescent="0.25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</row>
    <row r="42" spans="1:14" s="69" customFormat="1" x14ac:dyDescent="0.25">
      <c r="G42" s="235"/>
      <c r="H42" s="235"/>
      <c r="I42" s="235"/>
      <c r="J42" s="235"/>
      <c r="K42" s="235"/>
    </row>
    <row r="43" spans="1:14" s="69" customFormat="1" x14ac:dyDescent="0.25"/>
    <row r="44" spans="1:14" s="69" customFormat="1" x14ac:dyDescent="0.25"/>
    <row r="45" spans="1:14" s="69" customFormat="1" x14ac:dyDescent="0.25"/>
    <row r="46" spans="1:14" s="69" customFormat="1" x14ac:dyDescent="0.25"/>
    <row r="47" spans="1:14" s="69" customFormat="1" x14ac:dyDescent="0.25"/>
    <row r="48" spans="1:14" s="69" customFormat="1" x14ac:dyDescent="0.25"/>
    <row r="49" spans="1:11" s="69" customFormat="1" x14ac:dyDescent="0.25"/>
    <row r="50" spans="1:11" s="69" customFormat="1" x14ac:dyDescent="0.25"/>
    <row r="51" spans="1:11" s="69" customFormat="1" x14ac:dyDescent="0.25"/>
    <row r="52" spans="1:11" s="69" customFormat="1" x14ac:dyDescent="0.25"/>
    <row r="53" spans="1:11" x14ac:dyDescent="0.25">
      <c r="A53" s="69"/>
      <c r="B53" s="69"/>
      <c r="C53" s="69"/>
      <c r="D53" s="69"/>
      <c r="E53" s="69"/>
      <c r="G53" s="69"/>
      <c r="H53" s="69"/>
      <c r="I53" s="69"/>
      <c r="J53" s="69"/>
      <c r="K53" s="69"/>
    </row>
  </sheetData>
  <sheetProtection algorithmName="SHA-512" hashValue="jIb29YYwaPezc7KU/QbXNKHIkdlxy4D/HkNu9qB1tBtibKFE2C4SGKqEGxWlj+9wNvoSdPgyeR/HnewPOQuhsQ==" saltValue="/2QI/MucGjqawiqWWFk8yA==" spinCount="100000" sheet="1" formatRows="0" insertRows="0" deleteRows="0" sort="0" autoFilter="0"/>
  <mergeCells count="8">
    <mergeCell ref="B20:B26"/>
    <mergeCell ref="C26:E26"/>
    <mergeCell ref="C20:E20"/>
    <mergeCell ref="C21:E21"/>
    <mergeCell ref="C22:E22"/>
    <mergeCell ref="C23:E23"/>
    <mergeCell ref="C25:E25"/>
    <mergeCell ref="C24:E24"/>
  </mergeCells>
  <phoneticPr fontId="1" type="noConversion"/>
  <hyperlinks>
    <hyperlink ref="C6" r:id="rId1" display="https://cloud.mail.ru/public/CtmX/ikMoRaeXC" xr:uid="{C41050A9-020C-434F-8F7B-F143EE6D42FD}"/>
  </hyperlinks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Расёты!$F$4:$F$18</xm:f>
          </x14:formula1>
          <xm:sqref>B2</xm:sqref>
        </x14:dataValidation>
        <x14:dataValidation type="list" allowBlank="1" showInputMessage="1" showErrorMessage="1" xr:uid="{00000000-0002-0000-0000-000001000000}">
          <x14:formula1>
            <xm:f>Расёты!$G$4:$G$6</xm:f>
          </x14:formula1>
          <xm:sqref>B3</xm:sqref>
        </x14:dataValidation>
        <x14:dataValidation type="list" allowBlank="1" showInputMessage="1" showErrorMessage="1" xr:uid="{00000000-0002-0000-0000-000002000000}">
          <x14:formula1>
            <xm:f>Расёты!$H$4</xm:f>
          </x14:formula1>
          <xm:sqref>B4</xm:sqref>
        </x14:dataValidation>
        <x14:dataValidation type="list" allowBlank="1" showInputMessage="1" showErrorMessage="1" xr:uid="{00000000-0002-0000-0000-000003000000}">
          <x14:formula1>
            <xm:f>Расёты!$J$4:$J$6</xm:f>
          </x14:formula1>
          <xm:sqref>B5</xm:sqref>
        </x14:dataValidation>
        <x14:dataValidation type="list" allowBlank="1" showInputMessage="1" showErrorMessage="1" xr:uid="{00000000-0002-0000-0000-000004000000}">
          <x14:formula1>
            <xm:f>Расёты!$L$4:$L$5</xm:f>
          </x14:formula1>
          <xm:sqref>B6</xm:sqref>
        </x14:dataValidation>
        <x14:dataValidation type="list" allowBlank="1" showInputMessage="1" showErrorMessage="1" xr:uid="{00000000-0002-0000-0000-000005000000}">
          <x14:formula1>
            <xm:f>Расёты!$AU$2:$DN$2</xm:f>
          </x14:formula1>
          <xm:sqref>B8</xm:sqref>
        </x14:dataValidation>
        <x14:dataValidation type="list" allowBlank="1" showInputMessage="1" showErrorMessage="1" xr:uid="{00000000-0002-0000-0000-000006000000}">
          <x14:formula1>
            <xm:f>Расёты!$P$4</xm:f>
          </x14:formula1>
          <xm:sqref>B14</xm:sqref>
        </x14:dataValidation>
        <x14:dataValidation type="list" allowBlank="1" showInputMessage="1" showErrorMessage="1" xr:uid="{00000000-0002-0000-0000-000007000000}">
          <x14:formula1>
            <xm:f>Расёты!$R$4:$R$6</xm:f>
          </x14:formula1>
          <xm:sqref>B15</xm:sqref>
        </x14:dataValidation>
        <x14:dataValidation type="list" allowBlank="1" showInputMessage="1" showErrorMessage="1" xr:uid="{00000000-0002-0000-0000-000008000000}">
          <x14:formula1>
            <xm:f>Расёты!$T$4:$T$7</xm:f>
          </x14:formula1>
          <xm:sqref>B16</xm:sqref>
        </x14:dataValidation>
        <x14:dataValidation type="list" allowBlank="1" showInputMessage="1" showErrorMessage="1" xr:uid="{00000000-0002-0000-0000-000009000000}">
          <x14:formula1>
            <xm:f>Расёты!$V$4:$V$5</xm:f>
          </x14:formula1>
          <xm:sqref>B18</xm:sqref>
        </x14:dataValidation>
        <x14:dataValidation type="list" allowBlank="1" showInputMessage="1" showErrorMessage="1" xr:uid="{00000000-0002-0000-0000-00000A000000}">
          <x14:formula1>
            <xm:f>Расёты!$X$4:$X$9</xm:f>
          </x14:formula1>
          <xm:sqref>B7</xm:sqref>
        </x14:dataValidation>
        <x14:dataValidation type="list" allowBlank="1" showInputMessage="1" showErrorMessage="1" xr:uid="{00000000-0002-0000-0000-00000B000000}">
          <x14:formula1>
            <xm:f>Расёты!$AU$2:$CH$2</xm:f>
          </x14:formula1>
          <xm:sqref>B9:B13</xm:sqref>
        </x14:dataValidation>
        <x14:dataValidation type="list" allowBlank="1" showInputMessage="1" showErrorMessage="1" xr:uid="{00000000-0002-0000-0000-00000C000000}">
          <x14:formula1>
            <xm:f>Расёты!$Z$4:$Z$5</xm:f>
          </x14:formula1>
          <xm:sqref>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GO180"/>
  <sheetViews>
    <sheetView topLeftCell="A83" zoomScale="90" zoomScaleNormal="90" workbookViewId="0">
      <selection activeCell="B102" sqref="B102"/>
    </sheetView>
  </sheetViews>
  <sheetFormatPr defaultRowHeight="15" x14ac:dyDescent="0.25"/>
  <cols>
    <col min="1" max="1" width="11.42578125" customWidth="1"/>
    <col min="2" max="2" width="31.28515625" customWidth="1"/>
    <col min="3" max="3" width="11.7109375" customWidth="1"/>
    <col min="5" max="5" width="13.28515625" customWidth="1"/>
    <col min="6" max="6" width="46.85546875" customWidth="1"/>
    <col min="7" max="7" width="9.5703125" customWidth="1"/>
    <col min="8" max="8" width="13" customWidth="1"/>
    <col min="9" max="9" width="16.5703125" customWidth="1"/>
    <col min="10" max="10" width="12.140625" bestFit="1" customWidth="1"/>
    <col min="11" max="11" width="11.85546875" bestFit="1" customWidth="1"/>
    <col min="12" max="12" width="13.140625" bestFit="1" customWidth="1"/>
    <col min="13" max="14" width="11.42578125" bestFit="1" customWidth="1"/>
    <col min="15" max="15" width="11" customWidth="1"/>
    <col min="16" max="16" width="11.42578125" bestFit="1" customWidth="1"/>
    <col min="17" max="17" width="11" customWidth="1"/>
    <col min="18" max="18" width="11.42578125" bestFit="1" customWidth="1"/>
    <col min="19" max="19" width="11" bestFit="1" customWidth="1"/>
    <col min="20" max="20" width="11.42578125" bestFit="1" customWidth="1"/>
    <col min="21" max="21" width="11.28515625" customWidth="1"/>
    <col min="22" max="22" width="11.42578125" bestFit="1" customWidth="1"/>
    <col min="23" max="23" width="11" bestFit="1" customWidth="1"/>
    <col min="24" max="24" width="11.42578125" bestFit="1" customWidth="1"/>
    <col min="25" max="25" width="13.28515625" bestFit="1" customWidth="1"/>
    <col min="26" max="26" width="10.42578125" customWidth="1"/>
    <col min="27" max="27" width="9.85546875" customWidth="1"/>
    <col min="28" max="28" width="12.42578125" bestFit="1" customWidth="1"/>
    <col min="29" max="29" width="9.7109375" bestFit="1" customWidth="1"/>
    <col min="30" max="30" width="12.42578125" bestFit="1" customWidth="1"/>
    <col min="31" max="31" width="8.5703125" bestFit="1" customWidth="1"/>
    <col min="32" max="32" width="12.42578125" bestFit="1" customWidth="1"/>
    <col min="33" max="33" width="10.5703125" customWidth="1"/>
    <col min="34" max="34" width="12.42578125" bestFit="1" customWidth="1"/>
    <col min="35" max="35" width="10" customWidth="1"/>
    <col min="36" max="36" width="12.42578125" bestFit="1" customWidth="1"/>
    <col min="37" max="37" width="9.5703125" bestFit="1" customWidth="1"/>
    <col min="38" max="38" width="12.42578125" bestFit="1" customWidth="1"/>
    <col min="39" max="39" width="10.42578125" customWidth="1"/>
    <col min="40" max="40" width="12" customWidth="1"/>
    <col min="41" max="41" width="9.5703125" bestFit="1" customWidth="1"/>
    <col min="42" max="42" width="12.42578125" bestFit="1" customWidth="1"/>
    <col min="43" max="43" width="10.5703125" customWidth="1"/>
    <col min="44" max="44" width="12.42578125" bestFit="1" customWidth="1"/>
    <col min="45" max="45" width="8.5703125" bestFit="1" customWidth="1"/>
    <col min="46" max="46" width="12.42578125" bestFit="1" customWidth="1"/>
    <col min="47" max="47" width="9.7109375" customWidth="1"/>
    <col min="48" max="48" width="13" customWidth="1"/>
    <col min="50" max="50" width="11.28515625" customWidth="1"/>
    <col min="51" max="51" width="10.28515625" customWidth="1"/>
    <col min="52" max="52" width="11.7109375" customWidth="1"/>
    <col min="53" max="53" width="9.5703125" bestFit="1" customWidth="1"/>
    <col min="54" max="54" width="12" customWidth="1"/>
    <col min="55" max="55" width="9.5703125" bestFit="1" customWidth="1"/>
    <col min="56" max="56" width="11.140625" customWidth="1"/>
    <col min="57" max="57" width="10.28515625" customWidth="1"/>
    <col min="58" max="58" width="11.85546875" customWidth="1"/>
    <col min="60" max="60" width="10.85546875" customWidth="1"/>
    <col min="61" max="61" width="10.42578125" customWidth="1"/>
    <col min="64" max="64" width="14.140625" customWidth="1"/>
    <col min="65" max="65" width="10" customWidth="1"/>
    <col min="69" max="69" width="11" customWidth="1"/>
    <col min="72" max="72" width="11.42578125" customWidth="1"/>
    <col min="73" max="73" width="10.5703125" customWidth="1"/>
    <col min="77" max="77" width="9.7109375" bestFit="1" customWidth="1"/>
    <col min="81" max="81" width="9.7109375" bestFit="1" customWidth="1"/>
    <col min="85" max="85" width="10" customWidth="1"/>
    <col min="89" max="89" width="9.7109375" bestFit="1" customWidth="1"/>
    <col min="93" max="93" width="9.7109375" bestFit="1" customWidth="1"/>
    <col min="96" max="96" width="21.28515625" customWidth="1"/>
    <col min="97" max="97" width="11.7109375" customWidth="1"/>
    <col min="100" max="100" width="11.42578125" customWidth="1"/>
    <col min="103" max="103" width="10.7109375" customWidth="1"/>
    <col min="104" max="104" width="11.28515625" customWidth="1"/>
    <col min="107" max="107" width="11.5703125" customWidth="1"/>
    <col min="108" max="108" width="10.42578125" customWidth="1"/>
    <col min="111" max="111" width="10.28515625" customWidth="1"/>
    <col min="114" max="114" width="10.140625" customWidth="1"/>
    <col min="115" max="115" width="9.7109375" bestFit="1" customWidth="1"/>
    <col min="119" max="119" width="11" customWidth="1"/>
    <col min="123" max="123" width="9.7109375" bestFit="1" customWidth="1"/>
    <col min="127" max="127" width="10.5703125" customWidth="1"/>
    <col min="131" max="131" width="10.42578125" customWidth="1"/>
    <col min="135" max="135" width="10.85546875" customWidth="1"/>
    <col min="139" max="139" width="11" customWidth="1"/>
    <col min="143" max="143" width="12.140625" customWidth="1"/>
    <col min="146" max="146" width="10.42578125" customWidth="1"/>
    <col min="150" max="150" width="10" customWidth="1"/>
    <col min="154" max="154" width="10.7109375" customWidth="1"/>
    <col min="157" max="157" width="10.5703125" customWidth="1"/>
    <col min="168" max="168" width="9.28515625" customWidth="1"/>
    <col min="169" max="169" width="10.42578125" customWidth="1"/>
  </cols>
  <sheetData>
    <row r="1" spans="1:176" x14ac:dyDescent="0.25">
      <c r="E1" s="369" t="s">
        <v>126</v>
      </c>
      <c r="G1" s="1" t="s">
        <v>440</v>
      </c>
      <c r="H1" s="1" t="s">
        <v>127</v>
      </c>
      <c r="I1" s="1"/>
      <c r="J1" s="1" t="s">
        <v>127</v>
      </c>
      <c r="K1" s="1"/>
      <c r="L1" s="1" t="s">
        <v>127</v>
      </c>
      <c r="N1" t="s">
        <v>128</v>
      </c>
      <c r="R1" t="s">
        <v>130</v>
      </c>
      <c r="T1" t="s">
        <v>127</v>
      </c>
      <c r="V1" t="str">
        <f>IF(Z20=Z4,"]","")</f>
        <v>]</v>
      </c>
      <c r="Z1" t="s">
        <v>215</v>
      </c>
      <c r="AQ1" s="239" t="s">
        <v>401</v>
      </c>
      <c r="AR1" s="239" t="s">
        <v>403</v>
      </c>
      <c r="AS1" t="s">
        <v>404</v>
      </c>
    </row>
    <row r="2" spans="1:176" ht="15.75" thickBot="1" x14ac:dyDescent="0.3">
      <c r="A2" s="5">
        <v>1</v>
      </c>
      <c r="B2" s="5" t="str">
        <f>F34</f>
        <v>Корпус ЩМП1 (395х310х220)</v>
      </c>
      <c r="C2" s="13">
        <v>1</v>
      </c>
      <c r="D2" s="14">
        <f>G34</f>
        <v>2056</v>
      </c>
      <c r="E2" s="370"/>
      <c r="H2" s="1"/>
      <c r="I2" s="1"/>
      <c r="J2" s="1"/>
      <c r="K2" s="1"/>
      <c r="L2" s="1"/>
      <c r="P2" t="s">
        <v>130</v>
      </c>
      <c r="V2" s="41" t="str">
        <f>IF(Изделие!B18=V5,W2,"")</f>
        <v/>
      </c>
      <c r="W2" t="str">
        <f>IF(Z20=Z5,";","+")</f>
        <v>+</v>
      </c>
      <c r="Z2" s="41" t="str">
        <f>IF(Z20=Z5,"+","")</f>
        <v/>
      </c>
      <c r="AQ2" s="239" t="s">
        <v>402</v>
      </c>
      <c r="AR2" s="239" t="s">
        <v>406</v>
      </c>
      <c r="AS2" t="s">
        <v>405</v>
      </c>
      <c r="AT2">
        <v>0</v>
      </c>
      <c r="AU2">
        <v>1</v>
      </c>
      <c r="AV2">
        <v>2</v>
      </c>
      <c r="AW2">
        <v>3</v>
      </c>
      <c r="AX2">
        <v>4</v>
      </c>
      <c r="AY2">
        <v>5</v>
      </c>
      <c r="AZ2">
        <v>6</v>
      </c>
      <c r="BA2">
        <v>7</v>
      </c>
      <c r="BB2">
        <v>8</v>
      </c>
      <c r="BC2">
        <v>9</v>
      </c>
      <c r="BD2">
        <v>10</v>
      </c>
      <c r="BE2">
        <v>11</v>
      </c>
      <c r="BF2">
        <v>12</v>
      </c>
      <c r="BG2">
        <v>13</v>
      </c>
      <c r="BH2">
        <v>14</v>
      </c>
      <c r="BI2">
        <v>15</v>
      </c>
      <c r="BJ2">
        <v>16</v>
      </c>
      <c r="BK2">
        <v>17</v>
      </c>
      <c r="BL2">
        <v>18</v>
      </c>
      <c r="BM2">
        <v>19</v>
      </c>
      <c r="BN2">
        <v>20</v>
      </c>
      <c r="BO2">
        <v>21</v>
      </c>
      <c r="BP2">
        <v>22</v>
      </c>
      <c r="BQ2">
        <v>23</v>
      </c>
      <c r="BR2">
        <v>24</v>
      </c>
      <c r="BS2">
        <v>25</v>
      </c>
      <c r="BT2">
        <v>26</v>
      </c>
      <c r="BU2">
        <v>27</v>
      </c>
      <c r="BV2">
        <v>28</v>
      </c>
      <c r="BW2">
        <v>29</v>
      </c>
      <c r="BX2">
        <v>30</v>
      </c>
      <c r="BY2">
        <v>31</v>
      </c>
      <c r="BZ2">
        <v>32</v>
      </c>
      <c r="CA2">
        <v>33</v>
      </c>
      <c r="CB2">
        <v>34</v>
      </c>
      <c r="CC2">
        <v>35</v>
      </c>
      <c r="CD2">
        <v>36</v>
      </c>
      <c r="CE2">
        <v>37</v>
      </c>
      <c r="CF2">
        <v>38</v>
      </c>
      <c r="CG2">
        <v>39</v>
      </c>
      <c r="CH2">
        <v>40</v>
      </c>
      <c r="CI2">
        <v>41</v>
      </c>
      <c r="CJ2">
        <v>42</v>
      </c>
      <c r="CK2">
        <v>43</v>
      </c>
      <c r="CL2">
        <v>44</v>
      </c>
      <c r="CM2">
        <v>45</v>
      </c>
      <c r="CN2">
        <v>46</v>
      </c>
      <c r="CO2">
        <v>47</v>
      </c>
      <c r="CP2">
        <v>48</v>
      </c>
      <c r="CQ2">
        <v>49</v>
      </c>
      <c r="CR2">
        <v>50</v>
      </c>
      <c r="CS2">
        <v>51</v>
      </c>
      <c r="CT2">
        <v>52</v>
      </c>
      <c r="CU2">
        <v>53</v>
      </c>
      <c r="CV2">
        <v>54</v>
      </c>
      <c r="CW2">
        <v>55</v>
      </c>
      <c r="CX2">
        <v>56</v>
      </c>
      <c r="CY2">
        <v>57</v>
      </c>
      <c r="CZ2">
        <v>58</v>
      </c>
      <c r="DA2">
        <v>59</v>
      </c>
      <c r="DB2">
        <v>60</v>
      </c>
      <c r="DC2">
        <v>61</v>
      </c>
      <c r="DD2">
        <v>62</v>
      </c>
      <c r="DE2">
        <v>63</v>
      </c>
      <c r="DF2">
        <v>64</v>
      </c>
      <c r="DG2">
        <v>65</v>
      </c>
      <c r="DH2">
        <v>66</v>
      </c>
      <c r="DI2">
        <v>67</v>
      </c>
      <c r="DJ2">
        <v>68</v>
      </c>
      <c r="DK2">
        <v>69</v>
      </c>
      <c r="DL2">
        <v>70</v>
      </c>
      <c r="DM2">
        <v>71</v>
      </c>
      <c r="DN2">
        <v>72</v>
      </c>
      <c r="DO2">
        <v>73</v>
      </c>
      <c r="DP2">
        <v>74</v>
      </c>
      <c r="DQ2">
        <v>75</v>
      </c>
      <c r="DR2">
        <v>76</v>
      </c>
      <c r="DS2">
        <v>77</v>
      </c>
      <c r="DT2">
        <v>78</v>
      </c>
      <c r="DU2">
        <v>79</v>
      </c>
      <c r="DV2">
        <v>80</v>
      </c>
      <c r="DW2">
        <v>81</v>
      </c>
      <c r="DX2">
        <v>82</v>
      </c>
      <c r="DY2">
        <v>83</v>
      </c>
      <c r="DZ2">
        <v>84</v>
      </c>
      <c r="EA2">
        <v>85</v>
      </c>
      <c r="EB2">
        <v>86</v>
      </c>
      <c r="EC2">
        <v>87</v>
      </c>
      <c r="ED2">
        <v>88</v>
      </c>
      <c r="EE2">
        <v>89</v>
      </c>
      <c r="EF2">
        <v>90</v>
      </c>
      <c r="EG2">
        <v>91</v>
      </c>
      <c r="EH2">
        <v>92</v>
      </c>
      <c r="EI2">
        <v>93</v>
      </c>
      <c r="EJ2">
        <v>94</v>
      </c>
      <c r="EK2">
        <v>95</v>
      </c>
      <c r="EL2">
        <v>96</v>
      </c>
      <c r="EM2">
        <v>97</v>
      </c>
      <c r="EN2">
        <v>98</v>
      </c>
      <c r="EO2">
        <v>99</v>
      </c>
      <c r="EP2">
        <v>100</v>
      </c>
      <c r="EQ2">
        <v>101</v>
      </c>
      <c r="ER2">
        <v>102</v>
      </c>
      <c r="ES2">
        <v>103</v>
      </c>
      <c r="ET2">
        <v>104</v>
      </c>
      <c r="EU2">
        <v>105</v>
      </c>
      <c r="EV2">
        <v>106</v>
      </c>
      <c r="EW2">
        <v>107</v>
      </c>
      <c r="EX2">
        <v>108</v>
      </c>
      <c r="EY2">
        <v>109</v>
      </c>
      <c r="EZ2">
        <v>110</v>
      </c>
      <c r="FA2">
        <v>111</v>
      </c>
      <c r="FB2">
        <v>112</v>
      </c>
      <c r="FC2">
        <v>113</v>
      </c>
      <c r="FD2">
        <v>114</v>
      </c>
      <c r="FE2">
        <v>115</v>
      </c>
      <c r="FF2">
        <v>116</v>
      </c>
      <c r="FG2">
        <v>117</v>
      </c>
      <c r="FH2">
        <v>118</v>
      </c>
      <c r="FI2">
        <v>119</v>
      </c>
      <c r="FJ2">
        <v>120</v>
      </c>
      <c r="FK2">
        <v>121</v>
      </c>
      <c r="FL2">
        <v>122</v>
      </c>
      <c r="FM2">
        <v>123</v>
      </c>
      <c r="FN2">
        <v>124</v>
      </c>
      <c r="FO2">
        <v>125</v>
      </c>
      <c r="FP2">
        <v>126</v>
      </c>
      <c r="FQ2">
        <v>127</v>
      </c>
      <c r="FR2">
        <v>128</v>
      </c>
      <c r="FS2">
        <v>129</v>
      </c>
      <c r="FT2">
        <v>130</v>
      </c>
    </row>
    <row r="3" spans="1:176" s="1" customFormat="1" ht="57" thickBot="1" x14ac:dyDescent="0.3">
      <c r="A3" s="3">
        <v>2</v>
      </c>
      <c r="B3" s="5" t="str">
        <f>H34</f>
        <v>Блок релейный "БР-2-US-IP00"</v>
      </c>
      <c r="C3" s="13">
        <v>2</v>
      </c>
      <c r="D3" s="14">
        <f>I34</f>
        <v>485</v>
      </c>
      <c r="E3" s="374" t="s">
        <v>200</v>
      </c>
      <c r="F3" s="15" t="s">
        <v>20</v>
      </c>
      <c r="G3" s="34" t="s">
        <v>219</v>
      </c>
      <c r="H3" s="34" t="s">
        <v>203</v>
      </c>
      <c r="I3" s="4"/>
      <c r="J3" s="34" t="s">
        <v>204</v>
      </c>
      <c r="K3" s="4"/>
      <c r="L3" s="36" t="s">
        <v>217</v>
      </c>
      <c r="M3" s="4"/>
      <c r="N3" s="234" t="s">
        <v>208</v>
      </c>
      <c r="O3" s="4"/>
      <c r="P3" s="37" t="s">
        <v>209</v>
      </c>
      <c r="Q3" s="4"/>
      <c r="R3" s="38" t="s">
        <v>224</v>
      </c>
      <c r="S3" s="4"/>
      <c r="T3" s="38" t="s">
        <v>210</v>
      </c>
      <c r="U3" s="4"/>
      <c r="V3" s="38" t="s">
        <v>225</v>
      </c>
      <c r="W3" s="4"/>
      <c r="X3" s="38" t="s">
        <v>400</v>
      </c>
      <c r="Y3" s="4"/>
      <c r="Z3" s="292" t="s">
        <v>415</v>
      </c>
      <c r="AA3" s="4"/>
      <c r="AB3" s="4" t="s">
        <v>10</v>
      </c>
      <c r="AC3" s="4"/>
      <c r="AD3" s="4" t="s">
        <v>11</v>
      </c>
      <c r="AE3" s="4"/>
      <c r="AF3" s="4" t="s">
        <v>12</v>
      </c>
      <c r="AG3" s="4"/>
      <c r="AH3" s="4" t="s">
        <v>13</v>
      </c>
      <c r="AI3" s="4"/>
      <c r="AJ3" s="4" t="s">
        <v>14</v>
      </c>
      <c r="AK3" s="4"/>
      <c r="AL3" s="4" t="s">
        <v>15</v>
      </c>
      <c r="AM3" s="4"/>
      <c r="AN3" s="4" t="s">
        <v>16</v>
      </c>
      <c r="AO3" s="4"/>
      <c r="AP3" s="4" t="s">
        <v>17</v>
      </c>
      <c r="AQ3" s="4"/>
      <c r="AR3" s="4" t="s">
        <v>18</v>
      </c>
      <c r="AS3" s="4"/>
      <c r="AT3" s="4" t="s">
        <v>19</v>
      </c>
    </row>
    <row r="4" spans="1:176" ht="15" customHeight="1" x14ac:dyDescent="0.25">
      <c r="A4" s="3">
        <v>3</v>
      </c>
      <c r="B4" s="5" t="str">
        <f>J34</f>
        <v>Контактор КМ-103 9А катушка управления 220В AC</v>
      </c>
      <c r="C4" s="13">
        <v>3</v>
      </c>
      <c r="D4" s="14">
        <f>K34</f>
        <v>466.84</v>
      </c>
      <c r="E4" s="375"/>
      <c r="F4" s="16" t="s">
        <v>201</v>
      </c>
      <c r="G4" s="6" t="s">
        <v>202</v>
      </c>
      <c r="H4" s="6">
        <v>230</v>
      </c>
      <c r="I4" s="6"/>
      <c r="J4" s="6" t="s">
        <v>205</v>
      </c>
      <c r="K4" s="6"/>
      <c r="L4" s="39">
        <v>1</v>
      </c>
      <c r="M4" s="6"/>
      <c r="O4" s="6"/>
      <c r="P4" s="6">
        <v>230</v>
      </c>
      <c r="Q4" s="6"/>
      <c r="R4" s="6">
        <v>1</v>
      </c>
      <c r="S4" s="6"/>
      <c r="T4" s="6" t="s">
        <v>211</v>
      </c>
      <c r="U4" s="6"/>
      <c r="V4" s="6"/>
      <c r="W4" s="6"/>
      <c r="X4" s="6">
        <v>1</v>
      </c>
      <c r="Y4" s="6"/>
      <c r="Z4" s="6"/>
      <c r="AA4" s="6"/>
      <c r="AB4" s="6" t="s">
        <v>26</v>
      </c>
      <c r="AC4" s="6"/>
      <c r="AD4" s="6" t="s">
        <v>36</v>
      </c>
      <c r="AE4" s="6"/>
      <c r="AF4" s="6" t="s">
        <v>46</v>
      </c>
      <c r="AG4" s="6"/>
      <c r="AH4" s="6" t="s">
        <v>56</v>
      </c>
      <c r="AI4" s="6"/>
      <c r="AJ4" s="6" t="s">
        <v>66</v>
      </c>
      <c r="AK4" s="6"/>
      <c r="AL4" s="6" t="s">
        <v>76</v>
      </c>
      <c r="AM4" s="6"/>
      <c r="AN4" s="6" t="s">
        <v>86</v>
      </c>
      <c r="AO4" s="6"/>
      <c r="AP4" s="6" t="s">
        <v>96</v>
      </c>
      <c r="AQ4" s="6"/>
      <c r="AR4" s="6" t="s">
        <v>106</v>
      </c>
      <c r="AS4" s="31"/>
      <c r="AT4" s="7" t="s">
        <v>116</v>
      </c>
    </row>
    <row r="5" spans="1:176" x14ac:dyDescent="0.25">
      <c r="A5" s="3">
        <v>4</v>
      </c>
      <c r="B5" s="5" t="str">
        <f>L34</f>
        <v/>
      </c>
      <c r="C5" s="13">
        <v>4</v>
      </c>
      <c r="D5" s="14">
        <f>O34</f>
        <v>134.94</v>
      </c>
      <c r="E5" s="375"/>
      <c r="F5" s="17"/>
      <c r="G5" s="2" t="s">
        <v>220</v>
      </c>
      <c r="H5" s="2"/>
      <c r="I5" s="2"/>
      <c r="J5" s="2" t="s">
        <v>206</v>
      </c>
      <c r="K5" s="2"/>
      <c r="L5" s="39">
        <v>2</v>
      </c>
      <c r="M5" s="2"/>
      <c r="O5" s="2"/>
      <c r="P5" s="2"/>
      <c r="Q5" s="2"/>
      <c r="R5" s="2">
        <v>6</v>
      </c>
      <c r="S5" s="2"/>
      <c r="T5" s="2" t="s">
        <v>212</v>
      </c>
      <c r="U5" s="2"/>
      <c r="V5" s="2" t="s">
        <v>216</v>
      </c>
      <c r="W5" s="2"/>
      <c r="X5" s="2">
        <v>2</v>
      </c>
      <c r="Y5" s="2"/>
      <c r="Z5" s="291" t="s">
        <v>416</v>
      </c>
      <c r="AA5" s="2"/>
      <c r="AB5" s="2" t="s">
        <v>27</v>
      </c>
      <c r="AC5" s="2"/>
      <c r="AD5" s="2" t="s">
        <v>37</v>
      </c>
      <c r="AE5" s="2"/>
      <c r="AF5" s="2" t="s">
        <v>47</v>
      </c>
      <c r="AG5" s="2"/>
      <c r="AH5" s="2" t="s">
        <v>57</v>
      </c>
      <c r="AI5" s="2"/>
      <c r="AJ5" s="2" t="s">
        <v>67</v>
      </c>
      <c r="AK5" s="2"/>
      <c r="AL5" s="2" t="s">
        <v>77</v>
      </c>
      <c r="AM5" s="2"/>
      <c r="AN5" s="2" t="s">
        <v>87</v>
      </c>
      <c r="AO5" s="2"/>
      <c r="AP5" s="2" t="s">
        <v>97</v>
      </c>
      <c r="AQ5" s="2"/>
      <c r="AR5" s="2" t="s">
        <v>107</v>
      </c>
      <c r="AS5" s="19"/>
      <c r="AT5" s="8" t="s">
        <v>117</v>
      </c>
    </row>
    <row r="6" spans="1:176" ht="15.75" thickBot="1" x14ac:dyDescent="0.3">
      <c r="A6" s="3">
        <v>5</v>
      </c>
      <c r="B6" s="5" t="str">
        <f>N34</f>
        <v>Выключатель автоматический однополюсный 1А С ВА-101 4.5кА (11049DEK)</v>
      </c>
      <c r="C6" s="13">
        <v>5</v>
      </c>
      <c r="D6" s="14">
        <f>Q34</f>
        <v>160.07</v>
      </c>
      <c r="E6" s="375"/>
      <c r="F6" s="17"/>
      <c r="G6" s="2" t="s">
        <v>221</v>
      </c>
      <c r="H6" s="2"/>
      <c r="I6" s="2"/>
      <c r="J6" s="2" t="s">
        <v>207</v>
      </c>
      <c r="K6" s="2"/>
      <c r="L6" s="39"/>
      <c r="M6" s="2"/>
      <c r="O6" s="2"/>
      <c r="P6" s="2"/>
      <c r="Q6" s="2"/>
      <c r="R6" s="2">
        <v>10</v>
      </c>
      <c r="S6" s="2"/>
      <c r="T6" s="2" t="s">
        <v>213</v>
      </c>
      <c r="U6" s="2"/>
      <c r="V6" s="2"/>
      <c r="W6" s="2"/>
      <c r="X6" s="2">
        <v>3</v>
      </c>
      <c r="Y6" s="2"/>
      <c r="Z6" s="2"/>
      <c r="AA6" s="2"/>
      <c r="AB6" s="2" t="s">
        <v>28</v>
      </c>
      <c r="AC6" s="2"/>
      <c r="AD6" s="2" t="s">
        <v>38</v>
      </c>
      <c r="AE6" s="2"/>
      <c r="AF6" s="2" t="s">
        <v>48</v>
      </c>
      <c r="AG6" s="2"/>
      <c r="AH6" s="2" t="s">
        <v>58</v>
      </c>
      <c r="AI6" s="2"/>
      <c r="AJ6" s="2" t="s">
        <v>68</v>
      </c>
      <c r="AK6" s="2"/>
      <c r="AL6" s="2" t="s">
        <v>78</v>
      </c>
      <c r="AM6" s="2"/>
      <c r="AN6" s="2" t="s">
        <v>88</v>
      </c>
      <c r="AO6" s="2"/>
      <c r="AP6" s="2" t="s">
        <v>98</v>
      </c>
      <c r="AQ6" s="2"/>
      <c r="AR6" s="2" t="s">
        <v>108</v>
      </c>
      <c r="AS6" s="19"/>
      <c r="AT6" s="8" t="s">
        <v>118</v>
      </c>
    </row>
    <row r="7" spans="1:176" ht="15.75" thickBot="1" x14ac:dyDescent="0.3">
      <c r="A7" s="3">
        <v>6</v>
      </c>
      <c r="B7" s="5" t="str">
        <f>P34</f>
        <v>Выключатель автоматический однополюсный 1А С ВА-101 4.5кА (11049DEK)</v>
      </c>
      <c r="C7" s="13">
        <v>6</v>
      </c>
      <c r="D7" s="14">
        <f>S34</f>
        <v>224</v>
      </c>
      <c r="E7" s="375"/>
      <c r="F7" s="17"/>
      <c r="G7" s="2"/>
      <c r="H7" s="2"/>
      <c r="I7" s="2"/>
      <c r="J7" s="2"/>
      <c r="K7" s="2"/>
      <c r="L7" s="39"/>
      <c r="M7" s="2"/>
      <c r="N7" s="234">
        <f>Изделие!B8</f>
        <v>3</v>
      </c>
      <c r="O7" s="2"/>
      <c r="P7" s="48" t="str">
        <f>CONCATENATE(P1,P2,Изделие!B14)</f>
        <v>/230</v>
      </c>
      <c r="Q7" s="2"/>
      <c r="R7" s="47" t="str">
        <f>CONCATENATE(R1,R2,Изделие!B15)</f>
        <v>/1</v>
      </c>
      <c r="S7" s="2"/>
      <c r="T7" s="2" t="s">
        <v>214</v>
      </c>
      <c r="U7" s="2"/>
      <c r="V7" s="2"/>
      <c r="W7" s="2"/>
      <c r="X7" s="2">
        <v>4</v>
      </c>
      <c r="Y7" s="2"/>
      <c r="Z7" s="2"/>
      <c r="AA7" s="2"/>
      <c r="AB7" s="2" t="s">
        <v>29</v>
      </c>
      <c r="AC7" s="2"/>
      <c r="AD7" s="2" t="s">
        <v>39</v>
      </c>
      <c r="AE7" s="2"/>
      <c r="AF7" s="2" t="s">
        <v>49</v>
      </c>
      <c r="AG7" s="2"/>
      <c r="AH7" s="2" t="s">
        <v>59</v>
      </c>
      <c r="AI7" s="2"/>
      <c r="AJ7" s="2" t="s">
        <v>69</v>
      </c>
      <c r="AK7" s="2"/>
      <c r="AL7" s="2" t="s">
        <v>79</v>
      </c>
      <c r="AM7" s="2"/>
      <c r="AN7" s="2" t="s">
        <v>89</v>
      </c>
      <c r="AO7" s="2"/>
      <c r="AP7" s="2" t="s">
        <v>99</v>
      </c>
      <c r="AQ7" s="2"/>
      <c r="AR7" s="2" t="s">
        <v>109</v>
      </c>
      <c r="AS7" s="19"/>
      <c r="AT7" s="8" t="s">
        <v>119</v>
      </c>
    </row>
    <row r="8" spans="1:176" x14ac:dyDescent="0.25">
      <c r="A8" s="3">
        <v>7</v>
      </c>
      <c r="B8" s="5" t="str">
        <f>R34</f>
        <v>Реле промышленное миниатюрное; монтаж в колодку; Контакты: 4CO (AgNi), напряжение 230В AC, номинальный ток 6А, опции: кнопка тест + мех.индикатор. R4N-2014-23-5230-WT</v>
      </c>
      <c r="C8" s="13">
        <v>7</v>
      </c>
      <c r="D8" s="14">
        <f>S34</f>
        <v>224</v>
      </c>
      <c r="E8" s="375"/>
      <c r="F8" s="17"/>
      <c r="G8" s="2"/>
      <c r="H8" s="2"/>
      <c r="I8" s="2"/>
      <c r="J8" s="2"/>
      <c r="K8" s="2"/>
      <c r="L8" s="39"/>
      <c r="M8" s="2"/>
      <c r="N8" s="234">
        <f>IF(X20&lt;2,0,Изделие!B9)</f>
        <v>0</v>
      </c>
      <c r="O8" s="2" t="str">
        <f>CONCATENATE(L1,N8,P8,R8)</f>
        <v>-0</v>
      </c>
      <c r="P8" s="2" t="str">
        <f>IF(N8=0,"",P7)</f>
        <v/>
      </c>
      <c r="Q8" s="2" t="str">
        <f>IF(N8=0,"",O8)</f>
        <v/>
      </c>
      <c r="R8" s="233" t="str">
        <f>IF(N8=0,"",R7)</f>
        <v/>
      </c>
      <c r="S8" s="2"/>
      <c r="T8" s="2"/>
      <c r="U8" s="2"/>
      <c r="V8" s="2"/>
      <c r="W8" s="2"/>
      <c r="X8" s="2">
        <v>5</v>
      </c>
      <c r="Y8" s="2"/>
      <c r="Z8" s="2"/>
      <c r="AA8" s="2"/>
      <c r="AB8" s="2" t="s">
        <v>30</v>
      </c>
      <c r="AC8" s="2"/>
      <c r="AD8" s="2" t="s">
        <v>40</v>
      </c>
      <c r="AE8" s="2"/>
      <c r="AF8" s="2" t="s">
        <v>50</v>
      </c>
      <c r="AG8" s="2"/>
      <c r="AH8" s="2" t="s">
        <v>60</v>
      </c>
      <c r="AI8" s="2"/>
      <c r="AJ8" s="2" t="s">
        <v>70</v>
      </c>
      <c r="AK8" s="2"/>
      <c r="AL8" s="2" t="s">
        <v>80</v>
      </c>
      <c r="AM8" s="2"/>
      <c r="AN8" s="2" t="s">
        <v>90</v>
      </c>
      <c r="AO8" s="2"/>
      <c r="AP8" s="2" t="s">
        <v>100</v>
      </c>
      <c r="AQ8" s="2"/>
      <c r="AR8" s="2" t="s">
        <v>110</v>
      </c>
      <c r="AS8" s="19"/>
      <c r="AT8" s="8" t="s">
        <v>120</v>
      </c>
    </row>
    <row r="9" spans="1:176" x14ac:dyDescent="0.25">
      <c r="A9" s="3">
        <v>8</v>
      </c>
      <c r="B9" s="5" t="str">
        <f>T34</f>
        <v>Колодка с винтовыми зажимами (75*27*61мм) для реле серии R4N, T-R4;
цвет серый. GZM4-gray</v>
      </c>
      <c r="C9" s="13">
        <v>8</v>
      </c>
      <c r="D9" s="14">
        <f>U34</f>
        <v>159</v>
      </c>
      <c r="E9" s="375"/>
      <c r="F9" s="17"/>
      <c r="G9" s="2"/>
      <c r="H9" s="2"/>
      <c r="I9" s="2"/>
      <c r="J9" s="2"/>
      <c r="K9" s="2"/>
      <c r="L9" s="39"/>
      <c r="M9" s="2"/>
      <c r="N9" s="234">
        <f>IF(X20&lt;3,0,Изделие!B10)</f>
        <v>0</v>
      </c>
      <c r="O9" s="233" t="str">
        <f>CONCATENATE(L1,N9,P9,R9)</f>
        <v>-0</v>
      </c>
      <c r="P9" s="233" t="str">
        <f>IF(N9=0,"",P7)</f>
        <v/>
      </c>
      <c r="Q9" s="233" t="str">
        <f>IF(N9=0,"",O9)</f>
        <v/>
      </c>
      <c r="R9" s="233" t="str">
        <f>IF(N9=0,"",R7)</f>
        <v/>
      </c>
      <c r="S9" s="2"/>
      <c r="T9" s="2"/>
      <c r="U9" s="2"/>
      <c r="V9" s="2"/>
      <c r="W9" s="2"/>
      <c r="X9" s="2">
        <v>6</v>
      </c>
      <c r="Y9" s="2"/>
      <c r="Z9" s="2"/>
      <c r="AA9" s="2"/>
      <c r="AB9" s="2" t="s">
        <v>31</v>
      </c>
      <c r="AC9" s="2"/>
      <c r="AD9" s="2" t="s">
        <v>41</v>
      </c>
      <c r="AE9" s="2"/>
      <c r="AF9" s="2" t="s">
        <v>51</v>
      </c>
      <c r="AG9" s="2"/>
      <c r="AH9" s="2" t="s">
        <v>61</v>
      </c>
      <c r="AI9" s="2"/>
      <c r="AJ9" s="2" t="s">
        <v>71</v>
      </c>
      <c r="AK9" s="2"/>
      <c r="AL9" s="2" t="s">
        <v>81</v>
      </c>
      <c r="AM9" s="2"/>
      <c r="AN9" s="2" t="s">
        <v>91</v>
      </c>
      <c r="AO9" s="2"/>
      <c r="AP9" s="2" t="s">
        <v>101</v>
      </c>
      <c r="AQ9" s="2"/>
      <c r="AR9" s="2" t="s">
        <v>111</v>
      </c>
      <c r="AS9" s="19"/>
      <c r="AT9" s="8" t="s">
        <v>121</v>
      </c>
    </row>
    <row r="10" spans="1:176" ht="15.75" thickBot="1" x14ac:dyDescent="0.3">
      <c r="A10" s="3">
        <v>9</v>
      </c>
      <c r="B10" s="5" t="str">
        <f>V34</f>
        <v>Фиксатор металлический для реле R2N, R3N, R4N для колодок GZM2,
GZT2, GZM3, GZT3, GZM4, GZT4, GZMB4, GZ4, GZP4. G4 1052</v>
      </c>
      <c r="C10" s="13">
        <v>9</v>
      </c>
      <c r="D10" s="14">
        <f>W34</f>
        <v>11</v>
      </c>
      <c r="E10" s="375"/>
      <c r="F10" s="17"/>
      <c r="G10" s="2"/>
      <c r="H10" s="2"/>
      <c r="I10" s="2"/>
      <c r="J10" s="2"/>
      <c r="K10" s="2"/>
      <c r="L10" s="39"/>
      <c r="M10" s="2"/>
      <c r="N10" s="234">
        <f>IF(X20&lt;4,0,Изделие!B11)</f>
        <v>0</v>
      </c>
      <c r="O10" s="233" t="str">
        <f>CONCATENATE(L1,N10,P10,R10)</f>
        <v>-0</v>
      </c>
      <c r="P10" s="233" t="str">
        <f>IF(N10=0,"",P7)</f>
        <v/>
      </c>
      <c r="Q10" s="233" t="str">
        <f>IF(N10=0,"",O10)</f>
        <v/>
      </c>
      <c r="R10" s="233" t="str">
        <f>IF(N10=0,"",R7)</f>
        <v/>
      </c>
      <c r="S10" s="2"/>
      <c r="T10" s="2"/>
      <c r="U10" s="2"/>
      <c r="V10" s="2"/>
      <c r="W10" s="2"/>
      <c r="X10" s="4"/>
      <c r="Y10" s="2"/>
      <c r="Z10" s="2"/>
      <c r="AA10" s="2"/>
      <c r="AB10" s="2" t="s">
        <v>32</v>
      </c>
      <c r="AC10" s="2"/>
      <c r="AD10" s="2" t="s">
        <v>42</v>
      </c>
      <c r="AE10" s="2"/>
      <c r="AF10" s="2" t="s">
        <v>52</v>
      </c>
      <c r="AG10" s="2"/>
      <c r="AH10" s="2" t="s">
        <v>62</v>
      </c>
      <c r="AI10" s="2"/>
      <c r="AJ10" s="2" t="s">
        <v>72</v>
      </c>
      <c r="AK10" s="2"/>
      <c r="AL10" s="2" t="s">
        <v>82</v>
      </c>
      <c r="AM10" s="2"/>
      <c r="AN10" s="2" t="s">
        <v>92</v>
      </c>
      <c r="AO10" s="2"/>
      <c r="AP10" s="2" t="s">
        <v>102</v>
      </c>
      <c r="AQ10" s="2"/>
      <c r="AR10" s="2" t="s">
        <v>112</v>
      </c>
      <c r="AS10" s="19"/>
      <c r="AT10" s="8" t="s">
        <v>122</v>
      </c>
    </row>
    <row r="11" spans="1:176" ht="15.75" thickBot="1" x14ac:dyDescent="0.3">
      <c r="A11" s="3">
        <v>10</v>
      </c>
      <c r="B11" s="5" t="str">
        <f>X34</f>
        <v>Реле миниатюрное электромеханическое низкопрофильное, Контакты: 2CO (AgNi), напряжение 230В AC, номинальный ток 8А, прозрачный корпус, IP40, RTII. RM84-2012-25-5230-RUS</v>
      </c>
      <c r="C11" s="13">
        <v>10</v>
      </c>
      <c r="D11" s="14">
        <f>Y34</f>
        <v>170</v>
      </c>
      <c r="E11" s="375"/>
      <c r="F11" s="17"/>
      <c r="G11" s="2"/>
      <c r="H11" s="2"/>
      <c r="I11" s="2"/>
      <c r="J11" s="2"/>
      <c r="K11" s="2"/>
      <c r="L11" s="39"/>
      <c r="M11" s="2"/>
      <c r="N11" s="234">
        <f>IF(X20&lt;5,0,Изделие!B12)</f>
        <v>0</v>
      </c>
      <c r="O11" s="233" t="str">
        <f>CONCATENATE(L1,N11,P11,R11)</f>
        <v>-0</v>
      </c>
      <c r="P11" s="233" t="str">
        <f>IF(N11=0,"",P7)</f>
        <v/>
      </c>
      <c r="Q11" s="233" t="str">
        <f>IF(N11=0,"",O11)</f>
        <v/>
      </c>
      <c r="R11" s="233" t="str">
        <f>IF(N11=0,"",R7)</f>
        <v/>
      </c>
      <c r="S11" s="2"/>
      <c r="T11" s="2"/>
      <c r="U11" s="2"/>
      <c r="V11" s="2"/>
      <c r="W11" s="19"/>
      <c r="X11" s="232" t="str">
        <f>IF(X20=1,"",X20)</f>
        <v/>
      </c>
      <c r="Y11" s="17"/>
      <c r="Z11" s="2"/>
      <c r="AA11" s="2"/>
      <c r="AB11" s="2" t="s">
        <v>33</v>
      </c>
      <c r="AC11" s="2"/>
      <c r="AD11" s="2" t="s">
        <v>43</v>
      </c>
      <c r="AE11" s="2"/>
      <c r="AF11" s="2" t="s">
        <v>53</v>
      </c>
      <c r="AG11" s="2"/>
      <c r="AH11" s="2" t="s">
        <v>63</v>
      </c>
      <c r="AI11" s="2"/>
      <c r="AJ11" s="2" t="s">
        <v>73</v>
      </c>
      <c r="AK11" s="2"/>
      <c r="AL11" s="2" t="s">
        <v>83</v>
      </c>
      <c r="AM11" s="2"/>
      <c r="AN11" s="2" t="s">
        <v>93</v>
      </c>
      <c r="AO11" s="2"/>
      <c r="AP11" s="2" t="s">
        <v>103</v>
      </c>
      <c r="AQ11" s="2"/>
      <c r="AR11" s="2" t="s">
        <v>113</v>
      </c>
      <c r="AS11" s="19"/>
      <c r="AT11" s="8" t="s">
        <v>123</v>
      </c>
    </row>
    <row r="12" spans="1:176" ht="15.75" thickBot="1" x14ac:dyDescent="0.3">
      <c r="A12" s="3">
        <v>11</v>
      </c>
      <c r="B12" s="5" t="str">
        <f>Z34</f>
        <v>Колодка с винтовыми зажимами для реле серии RM84, RM85,RM87L/P; цвет серый ( в комплекте шильдик маркировочный GZT80-0035). GZM80-gray</v>
      </c>
      <c r="C12" s="13">
        <v>11</v>
      </c>
      <c r="D12" s="14">
        <f>AA34</f>
        <v>113</v>
      </c>
      <c r="E12" s="375"/>
      <c r="F12" s="17"/>
      <c r="G12" s="2"/>
      <c r="H12" s="2"/>
      <c r="I12" s="2"/>
      <c r="J12" s="2"/>
      <c r="K12" s="2"/>
      <c r="L12" s="39"/>
      <c r="M12" s="2"/>
      <c r="N12" s="234">
        <f>IF(X20&lt;6,0,Изделие!B13)</f>
        <v>0</v>
      </c>
      <c r="O12" s="233" t="str">
        <f>CONCATENATE(L1,N12,P12,R12)</f>
        <v>-0</v>
      </c>
      <c r="P12" s="233" t="str">
        <f>IF(N12=0,"",P7)</f>
        <v/>
      </c>
      <c r="Q12" s="233" t="str">
        <f>IF(N12=0,"",O12)</f>
        <v/>
      </c>
      <c r="R12" s="233" t="str">
        <f>IF(N12=0,"",R7)</f>
        <v/>
      </c>
      <c r="S12" s="2"/>
      <c r="T12" s="2"/>
      <c r="U12" s="2"/>
      <c r="V12" s="2"/>
      <c r="W12" s="2"/>
      <c r="X12" s="13"/>
      <c r="Y12" s="2"/>
      <c r="Z12" s="2"/>
      <c r="AA12" s="2"/>
      <c r="AB12" s="2" t="s">
        <v>34</v>
      </c>
      <c r="AC12" s="2"/>
      <c r="AD12" s="2" t="s">
        <v>44</v>
      </c>
      <c r="AE12" s="2"/>
      <c r="AF12" s="2" t="s">
        <v>54</v>
      </c>
      <c r="AG12" s="2"/>
      <c r="AH12" s="2" t="s">
        <v>64</v>
      </c>
      <c r="AI12" s="2"/>
      <c r="AJ12" s="2" t="s">
        <v>74</v>
      </c>
      <c r="AK12" s="2"/>
      <c r="AL12" s="2" t="s">
        <v>84</v>
      </c>
      <c r="AM12" s="2"/>
      <c r="AN12" s="2" t="s">
        <v>94</v>
      </c>
      <c r="AO12" s="2"/>
      <c r="AP12" s="2" t="s">
        <v>104</v>
      </c>
      <c r="AQ12" s="2"/>
      <c r="AR12" s="2" t="s">
        <v>114</v>
      </c>
      <c r="AS12" s="19"/>
      <c r="AT12" s="8" t="s">
        <v>124</v>
      </c>
    </row>
    <row r="13" spans="1:176" ht="15.75" thickBot="1" x14ac:dyDescent="0.3">
      <c r="A13" s="3">
        <v>12</v>
      </c>
      <c r="B13" s="5" t="str">
        <f>AB34</f>
        <v>Фиксатор металлический для реле RM84, RM85, RM87, для колодок GZT80, GZM80, GZF80, GZT92, GZM92. GZM80-0041</v>
      </c>
      <c r="C13" s="13">
        <v>12</v>
      </c>
      <c r="D13" s="14">
        <f>AC34</f>
        <v>11</v>
      </c>
      <c r="E13" s="375"/>
      <c r="F13" s="2"/>
      <c r="G13" s="2"/>
      <c r="H13" s="2"/>
      <c r="I13" s="2"/>
      <c r="J13" s="2"/>
      <c r="K13" s="2"/>
      <c r="L13" s="39"/>
      <c r="M13" s="2"/>
      <c r="N13" s="240"/>
      <c r="O13" s="2"/>
      <c r="P13" s="2"/>
      <c r="Q13" s="2"/>
      <c r="R13" s="2"/>
      <c r="S13" s="2"/>
      <c r="T13" s="2"/>
      <c r="U13" s="2"/>
      <c r="V13" s="2"/>
      <c r="W13" s="2"/>
      <c r="X13" s="232">
        <f>X20*2-2</f>
        <v>0</v>
      </c>
      <c r="Y13" s="2"/>
      <c r="Z13" s="2"/>
      <c r="AA13" s="2"/>
      <c r="AB13" s="2" t="s">
        <v>35</v>
      </c>
      <c r="AC13" s="2"/>
      <c r="AD13" s="2" t="s">
        <v>45</v>
      </c>
      <c r="AE13" s="2"/>
      <c r="AF13" s="2" t="s">
        <v>55</v>
      </c>
      <c r="AG13" s="2"/>
      <c r="AH13" s="2" t="s">
        <v>65</v>
      </c>
      <c r="AI13" s="2"/>
      <c r="AJ13" s="2" t="s">
        <v>75</v>
      </c>
      <c r="AK13" s="2"/>
      <c r="AL13" s="2" t="s">
        <v>85</v>
      </c>
      <c r="AM13" s="2"/>
      <c r="AN13" s="2" t="s">
        <v>95</v>
      </c>
      <c r="AO13" s="2"/>
      <c r="AP13" s="2" t="s">
        <v>105</v>
      </c>
      <c r="AQ13" s="2"/>
      <c r="AR13" s="2" t="s">
        <v>115</v>
      </c>
      <c r="AS13" s="2"/>
      <c r="AT13" s="2" t="s">
        <v>125</v>
      </c>
    </row>
    <row r="14" spans="1:176" ht="15.75" thickBot="1" x14ac:dyDescent="0.3">
      <c r="A14" s="3">
        <v>13</v>
      </c>
      <c r="B14" s="5" t="str">
        <f>AD34</f>
        <v>304130, Клеммник на DIN-рейку 4мм.кв. (серый); AVK4 (упак 100 шт)</v>
      </c>
      <c r="C14" s="13">
        <v>13</v>
      </c>
      <c r="D14" s="14">
        <f>AE34</f>
        <v>31.54975</v>
      </c>
      <c r="E14" s="375"/>
      <c r="F14" s="2"/>
      <c r="G14" s="2"/>
      <c r="H14" s="2"/>
      <c r="I14" s="2"/>
      <c r="J14" s="2"/>
      <c r="K14" s="2"/>
      <c r="L14" s="39"/>
      <c r="M14" s="2"/>
      <c r="N14" s="240"/>
      <c r="O14" s="2"/>
      <c r="P14" s="2"/>
      <c r="Q14" s="2"/>
      <c r="R14" s="2"/>
      <c r="S14" s="2"/>
      <c r="T14" s="2"/>
      <c r="U14" s="2"/>
      <c r="V14" s="2"/>
      <c r="W14" s="2"/>
      <c r="X14" s="232">
        <f>X20</f>
        <v>1</v>
      </c>
      <c r="Y14" s="2"/>
      <c r="Z14" s="2"/>
      <c r="AA14" s="2"/>
      <c r="AB14" s="2" t="s">
        <v>150</v>
      </c>
      <c r="AC14" s="2"/>
      <c r="AD14" s="2" t="s">
        <v>151</v>
      </c>
      <c r="AE14" s="2"/>
      <c r="AF14" s="2" t="s">
        <v>152</v>
      </c>
      <c r="AG14" s="2"/>
      <c r="AH14" s="2" t="s">
        <v>153</v>
      </c>
      <c r="AI14" s="2"/>
      <c r="AJ14" s="2" t="s">
        <v>154</v>
      </c>
      <c r="AK14" s="2"/>
      <c r="AL14" s="2" t="s">
        <v>155</v>
      </c>
      <c r="AM14" s="2"/>
      <c r="AN14" s="2" t="s">
        <v>156</v>
      </c>
      <c r="AO14" s="2"/>
      <c r="AP14" s="2" t="s">
        <v>157</v>
      </c>
      <c r="AQ14" s="2"/>
      <c r="AR14" s="2" t="s">
        <v>158</v>
      </c>
      <c r="AS14" s="2"/>
      <c r="AT14" s="2" t="s">
        <v>159</v>
      </c>
    </row>
    <row r="15" spans="1:176" ht="15.75" thickBot="1" x14ac:dyDescent="0.3">
      <c r="A15" s="3">
        <v>14</v>
      </c>
      <c r="B15" s="5" t="str">
        <f>AF34</f>
        <v>304131, Клеммник на DIN-рейку 4мм.кв. (синий); AVK4 (упак 100 шт)</v>
      </c>
      <c r="C15" s="13">
        <v>14</v>
      </c>
      <c r="D15" s="14">
        <f>AG34</f>
        <v>31.54975</v>
      </c>
      <c r="E15" s="375"/>
      <c r="F15" s="2"/>
      <c r="G15" s="2"/>
      <c r="H15" s="2"/>
      <c r="I15" s="2"/>
      <c r="J15" s="2"/>
      <c r="K15" s="2"/>
      <c r="L15" s="39"/>
      <c r="M15" s="2"/>
      <c r="N15" s="240"/>
      <c r="O15" s="2"/>
      <c r="P15" s="2"/>
      <c r="Q15" s="2"/>
      <c r="R15" s="2"/>
      <c r="S15" s="2"/>
      <c r="T15" s="2"/>
      <c r="U15" s="2"/>
      <c r="V15" s="2"/>
      <c r="W15" s="2"/>
      <c r="X15" s="232">
        <f>X20-1</f>
        <v>0</v>
      </c>
      <c r="Y15" s="2"/>
      <c r="Z15" s="2"/>
      <c r="AA15" s="2"/>
      <c r="AB15" s="2" t="s">
        <v>160</v>
      </c>
      <c r="AC15" s="2"/>
      <c r="AD15" s="2" t="s">
        <v>161</v>
      </c>
      <c r="AE15" s="2"/>
      <c r="AF15" s="2" t="s">
        <v>162</v>
      </c>
      <c r="AG15" s="2"/>
      <c r="AH15" s="2" t="s">
        <v>163</v>
      </c>
      <c r="AI15" s="2"/>
      <c r="AJ15" s="2" t="s">
        <v>164</v>
      </c>
      <c r="AK15" s="2"/>
      <c r="AL15" s="2" t="s">
        <v>165</v>
      </c>
      <c r="AM15" s="2"/>
      <c r="AN15" s="2" t="s">
        <v>166</v>
      </c>
      <c r="AO15" s="2"/>
      <c r="AP15" s="2" t="s">
        <v>167</v>
      </c>
      <c r="AQ15" s="2"/>
      <c r="AR15" s="2" t="s">
        <v>168</v>
      </c>
      <c r="AS15" s="2"/>
      <c r="AT15" s="2" t="s">
        <v>169</v>
      </c>
    </row>
    <row r="16" spans="1:176" x14ac:dyDescent="0.25">
      <c r="A16" s="3">
        <v>15</v>
      </c>
      <c r="B16" s="5" t="str">
        <f>AH34</f>
        <v>334120, Клеммник на DIN-рейку 4 мм.кв., (земля); AVK2,5/4T (упак 50 шт)</v>
      </c>
      <c r="C16" s="13">
        <v>15</v>
      </c>
      <c r="D16" s="13">
        <f>AI34</f>
        <v>111.63760000000001</v>
      </c>
      <c r="E16" s="375"/>
      <c r="F16" s="2"/>
      <c r="G16" s="2"/>
      <c r="H16" s="2"/>
      <c r="I16" s="2"/>
      <c r="J16" s="2"/>
      <c r="K16" s="2"/>
      <c r="L16" s="39"/>
      <c r="M16" s="2"/>
      <c r="N16" s="240"/>
      <c r="O16" s="2"/>
      <c r="P16" s="2"/>
      <c r="Q16" s="2"/>
      <c r="R16" s="2"/>
      <c r="S16" s="2"/>
      <c r="T16" s="237"/>
      <c r="U16" s="2"/>
      <c r="V16" s="2"/>
      <c r="W16" s="2"/>
      <c r="X16" s="285">
        <f>300*(X20-1)</f>
        <v>0</v>
      </c>
      <c r="Y16" s="2"/>
      <c r="Z16" s="2"/>
      <c r="AA16" s="2"/>
      <c r="AB16" s="2" t="s">
        <v>170</v>
      </c>
      <c r="AC16" s="2"/>
      <c r="AD16" s="2" t="s">
        <v>171</v>
      </c>
      <c r="AE16" s="2"/>
      <c r="AF16" s="2" t="s">
        <v>172</v>
      </c>
      <c r="AG16" s="2"/>
      <c r="AH16" s="2" t="s">
        <v>173</v>
      </c>
      <c r="AI16" s="2"/>
      <c r="AJ16" s="2" t="s">
        <v>174</v>
      </c>
      <c r="AK16" s="2"/>
      <c r="AL16" s="2" t="s">
        <v>175</v>
      </c>
      <c r="AM16" s="2"/>
      <c r="AN16" s="2" t="s">
        <v>176</v>
      </c>
      <c r="AO16" s="2"/>
      <c r="AP16" s="2" t="s">
        <v>177</v>
      </c>
      <c r="AQ16" s="2"/>
      <c r="AR16" s="2" t="s">
        <v>178</v>
      </c>
      <c r="AS16" s="2"/>
      <c r="AT16" s="2" t="s">
        <v>179</v>
      </c>
    </row>
    <row r="17" spans="1:69" x14ac:dyDescent="0.25">
      <c r="A17" s="3">
        <v>16</v>
      </c>
      <c r="B17" s="5" t="str">
        <f>AJ34</f>
        <v>304120, Клеммник на DIN-рейку 2,5мм.кв. (серый); AVK2,5 (упак 100 шт)</v>
      </c>
      <c r="C17" s="13">
        <v>16</v>
      </c>
      <c r="D17" s="14">
        <f>AK34</f>
        <v>27.909400000000002</v>
      </c>
      <c r="E17" s="375"/>
      <c r="F17" s="2"/>
      <c r="G17" s="2"/>
      <c r="H17" s="2"/>
      <c r="I17" s="2"/>
      <c r="J17" s="2"/>
      <c r="K17" s="2"/>
      <c r="L17" s="39"/>
      <c r="M17" s="2"/>
      <c r="N17" s="240"/>
      <c r="O17" s="2"/>
      <c r="P17" s="2"/>
      <c r="Q17" s="2"/>
      <c r="R17" s="2"/>
      <c r="S17" s="19"/>
      <c r="T17" s="237"/>
      <c r="U17" s="17"/>
      <c r="V17" s="2"/>
      <c r="W17" s="2"/>
      <c r="X17" s="2"/>
      <c r="Y17" s="2"/>
      <c r="Z17" s="2"/>
      <c r="AA17" s="2"/>
      <c r="AB17" s="2" t="s">
        <v>180</v>
      </c>
      <c r="AC17" s="2"/>
      <c r="AD17" s="2" t="s">
        <v>181</v>
      </c>
      <c r="AE17" s="2"/>
      <c r="AF17" s="2" t="s">
        <v>182</v>
      </c>
      <c r="AG17" s="2"/>
      <c r="AH17" s="2" t="s">
        <v>183</v>
      </c>
      <c r="AI17" s="2"/>
      <c r="AJ17" s="2" t="s">
        <v>184</v>
      </c>
      <c r="AK17" s="2"/>
      <c r="AL17" s="2" t="s">
        <v>185</v>
      </c>
      <c r="AM17" s="2"/>
      <c r="AN17" s="2" t="s">
        <v>186</v>
      </c>
      <c r="AO17" s="2"/>
      <c r="AP17" s="2" t="s">
        <v>187</v>
      </c>
      <c r="AQ17" s="2"/>
      <c r="AR17" s="2" t="s">
        <v>188</v>
      </c>
      <c r="AS17" s="2"/>
      <c r="AT17" s="2" t="s">
        <v>189</v>
      </c>
    </row>
    <row r="18" spans="1:69" ht="15.75" thickBot="1" x14ac:dyDescent="0.3">
      <c r="A18" s="3">
        <v>17</v>
      </c>
      <c r="B18" s="5" t="str">
        <f>AL34</f>
        <v>304121, Клеммник на DIN-рейку 2,5мм.кв. (синий); AVK2,5 (упак 100 шт)</v>
      </c>
      <c r="C18" s="13">
        <v>17</v>
      </c>
      <c r="D18" s="14">
        <f>AM34</f>
        <v>27.909400000000002</v>
      </c>
      <c r="E18" s="375"/>
      <c r="F18" s="4"/>
      <c r="G18" s="4"/>
      <c r="H18" s="4"/>
      <c r="I18" s="4"/>
      <c r="J18" s="4"/>
      <c r="K18" s="4"/>
      <c r="L18" s="39"/>
      <c r="M18" s="4"/>
      <c r="N18" s="241"/>
      <c r="O18" s="4"/>
      <c r="P18" s="4"/>
      <c r="Q18" s="4"/>
      <c r="R18" s="2"/>
      <c r="S18" s="4"/>
      <c r="T18" s="52"/>
      <c r="U18" s="4"/>
      <c r="V18" s="4"/>
      <c r="W18" s="4"/>
      <c r="X18" s="2"/>
      <c r="Y18" s="4"/>
      <c r="Z18" s="4"/>
      <c r="AA18" s="4"/>
      <c r="AB18" s="4" t="s">
        <v>190</v>
      </c>
      <c r="AC18" s="4"/>
      <c r="AD18" s="4" t="s">
        <v>191</v>
      </c>
      <c r="AE18" s="4"/>
      <c r="AF18" s="4" t="s">
        <v>192</v>
      </c>
      <c r="AG18" s="4"/>
      <c r="AH18" s="4" t="s">
        <v>193</v>
      </c>
      <c r="AI18" s="4"/>
      <c r="AJ18" s="4" t="s">
        <v>194</v>
      </c>
      <c r="AK18" s="4"/>
      <c r="AL18" s="4" t="s">
        <v>195</v>
      </c>
      <c r="AM18" s="4"/>
      <c r="AN18" s="4" t="s">
        <v>196</v>
      </c>
      <c r="AO18" s="4"/>
      <c r="AP18" s="4" t="s">
        <v>197</v>
      </c>
      <c r="AQ18" s="4"/>
      <c r="AR18" s="4" t="s">
        <v>198</v>
      </c>
      <c r="AS18" s="4"/>
      <c r="AT18" s="4" t="s">
        <v>199</v>
      </c>
    </row>
    <row r="19" spans="1:69" ht="15.75" thickBot="1" x14ac:dyDescent="0.3">
      <c r="A19" s="3">
        <v>18</v>
      </c>
      <c r="B19" s="5" t="str">
        <f>AN34</f>
        <v>304121, Клеммник на DIN-рейку 2,5мм.кв. (синий); AVK2,5 (упак 100 шт)</v>
      </c>
      <c r="C19" s="13">
        <v>18</v>
      </c>
      <c r="D19" s="14">
        <f>AO34</f>
        <v>27.909400000000002</v>
      </c>
      <c r="E19" s="11" t="s">
        <v>21</v>
      </c>
      <c r="F19" s="28" t="str">
        <f>CONCATENATE(F1,F2,Изделие!B2)</f>
        <v>ЩУ-П НИКОМ</v>
      </c>
      <c r="G19" s="29" t="str">
        <f>CONCATENATE(G1,G2,Изделие!B3)</f>
        <v>АКр</v>
      </c>
      <c r="H19" s="28" t="str">
        <f>CONCATENATE(H1,H2,Изделие!B4)</f>
        <v>-230</v>
      </c>
      <c r="I19" s="30"/>
      <c r="J19" s="30" t="str">
        <f>CONCATENATE(J1,J2,Изделие!B5)</f>
        <v>-IP31</v>
      </c>
      <c r="K19" s="30"/>
      <c r="L19" s="35" t="str">
        <f>CONCATENATE(L1,L2,Изделие!B6)</f>
        <v>-1</v>
      </c>
      <c r="M19" s="30"/>
      <c r="N19" s="30" t="str">
        <f>CONCATENATE(N1,N2,N7)</f>
        <v>[3</v>
      </c>
      <c r="O19" s="47"/>
      <c r="Q19" s="47"/>
      <c r="R19">
        <f>Изделие!B15</f>
        <v>1</v>
      </c>
      <c r="S19" s="47"/>
      <c r="T19" s="30" t="str">
        <f>CONCATENATE(T1,T2,X19,Изделие!B16)</f>
        <v>-24D</v>
      </c>
      <c r="U19" s="30"/>
      <c r="V19" s="30" t="str">
        <f>CONCATENATE(V1,V2,Изделие!B18)</f>
        <v>]</v>
      </c>
      <c r="W19" s="30"/>
      <c r="X19" s="30" t="str">
        <f>CONCATENATE(X1,X2,X11)</f>
        <v/>
      </c>
      <c r="Y19" s="30"/>
      <c r="Z19" s="30" t="str">
        <f>IF(Z20=Z5,_xlfn.CONCAT(Z1,Z2,Z20),"")</f>
        <v/>
      </c>
      <c r="AA19" s="30"/>
      <c r="AB19" s="30" t="e">
        <f>CONCATENATE(AB1,AB2,Изделие!#REF!)</f>
        <v>#REF!</v>
      </c>
      <c r="AC19" s="30"/>
      <c r="AD19" s="30" t="e">
        <f ca="1">_xlfn.CONCAT(AD1,AD2,Изделие!#REF!)</f>
        <v>#NAME?</v>
      </c>
      <c r="AE19" s="30"/>
      <c r="AF19" s="30" t="e">
        <f ca="1">_xlfn.CONCAT(AF1,AF2,Изделие!#REF!)</f>
        <v>#NAME?</v>
      </c>
      <c r="AG19" s="30"/>
      <c r="AH19" s="30" t="e">
        <f ca="1">_xlfn.CONCAT(AH1,AH2,Изделие!#REF!)</f>
        <v>#NAME?</v>
      </c>
      <c r="AI19" s="30"/>
      <c r="AJ19" s="30" t="e">
        <f ca="1">_xlfn.CONCAT(AJ1,AJ2,Изделие!B25)</f>
        <v>#NAME?</v>
      </c>
      <c r="AK19" s="30"/>
      <c r="AL19" s="30" t="e">
        <f ca="1">_xlfn.CONCAT(AL1,AL2,Изделие!B26)</f>
        <v>#NAME?</v>
      </c>
      <c r="AM19" s="30"/>
      <c r="AN19" s="30" t="e">
        <f ca="1">_xlfn.CONCAT(AN1,AN2,Изделие!B27)</f>
        <v>#NAME?</v>
      </c>
      <c r="AO19" s="30"/>
      <c r="AP19" s="30" t="e">
        <f ca="1">_xlfn.CONCAT(AP1,AP2,Изделие!B28)</f>
        <v>#NAME?</v>
      </c>
      <c r="AQ19" s="30"/>
      <c r="AR19" s="30" t="e">
        <f ca="1">_xlfn.CONCAT(AR1,AR2,Изделие!B29)</f>
        <v>#NAME?</v>
      </c>
      <c r="AS19" s="32"/>
      <c r="AT19" s="29" t="e">
        <f ca="1">_xlfn.CONCAT(AT1,AT2,Изделие!B30)</f>
        <v>#NAME?</v>
      </c>
    </row>
    <row r="20" spans="1:69" ht="15.75" thickBot="1" x14ac:dyDescent="0.3">
      <c r="A20" s="3">
        <v>19</v>
      </c>
      <c r="B20" s="5" t="str">
        <f>AP34</f>
        <v>304120, Клеммник на DIN-рейку 2,5мм.кв. (серый); AVK2,5 (упак 100 шт)</v>
      </c>
      <c r="C20" s="13">
        <v>19</v>
      </c>
      <c r="D20" s="14">
        <f>AQ34</f>
        <v>27.909400000000002</v>
      </c>
      <c r="E20" s="11" t="s">
        <v>22</v>
      </c>
      <c r="F20" s="40" t="str">
        <f>CONCATENATE(F19,G19,H19,J19,L19,N19,P7,R7,Q8,Q9,Q10,Q11,Q12,T19,Z19,V19)</f>
        <v>ЩУ-П НИКОМАКр-230-IP31-1[3/230/1-24D]</v>
      </c>
      <c r="G20" s="45" t="str">
        <f>Изделие!B3</f>
        <v>Кр</v>
      </c>
      <c r="H20" s="46"/>
      <c r="I20" s="46"/>
      <c r="J20" s="45" t="str">
        <f>Изделие!B5</f>
        <v>IP31</v>
      </c>
      <c r="K20" s="46"/>
      <c r="L20" s="45">
        <f>Изделие!B6</f>
        <v>1</v>
      </c>
      <c r="M20" s="46"/>
      <c r="N20" s="45">
        <f>SUM(N7:N12)</f>
        <v>3</v>
      </c>
      <c r="O20" s="46"/>
      <c r="P20" s="46"/>
      <c r="Q20" s="46"/>
      <c r="R20" s="46"/>
      <c r="S20" s="46"/>
      <c r="T20" s="45" t="str">
        <f>Изделие!B16</f>
        <v>24D</v>
      </c>
      <c r="U20" s="46"/>
      <c r="V20" s="45">
        <f>Изделие!B18</f>
        <v>0</v>
      </c>
      <c r="X20" s="45">
        <f>Изделие!B7</f>
        <v>1</v>
      </c>
      <c r="Z20" s="45">
        <f>Изделие!B17</f>
        <v>0</v>
      </c>
    </row>
    <row r="21" spans="1:69" ht="15.75" thickBot="1" x14ac:dyDescent="0.3">
      <c r="A21" s="3">
        <v>20</v>
      </c>
      <c r="B21" s="5" t="str">
        <f>AR34</f>
        <v>304120, Клеммник на DIN-рейку 2,5мм.кв. (серый); AVK2,5 (упак 100 шт)</v>
      </c>
      <c r="C21" s="13">
        <v>20</v>
      </c>
      <c r="D21" s="14">
        <f>AS34</f>
        <v>27.909400000000002</v>
      </c>
      <c r="E21" t="str">
        <f>CONCATENATE(R19,G1)</f>
        <v>1А</v>
      </c>
      <c r="V21" s="1">
        <f>IF(V20=V5,1,0)</f>
        <v>0</v>
      </c>
      <c r="Z21" s="1">
        <f>IF(Z20=Z5,1,0)</f>
        <v>0</v>
      </c>
    </row>
    <row r="22" spans="1:69" ht="15.75" thickBot="1" x14ac:dyDescent="0.3">
      <c r="A22" s="12">
        <v>21</v>
      </c>
      <c r="B22" s="42" t="str">
        <f>AT34</f>
        <v>Лампа ADDS 22мм зеленая LED 220В</v>
      </c>
      <c r="C22" s="52">
        <v>21</v>
      </c>
      <c r="D22" s="53">
        <f>AU34</f>
        <v>93.7</v>
      </c>
      <c r="E22" s="10" t="s">
        <v>146</v>
      </c>
      <c r="F22" s="18" t="s">
        <v>147</v>
      </c>
      <c r="G22" s="9" t="s">
        <v>148</v>
      </c>
      <c r="H22" s="18" t="s">
        <v>0</v>
      </c>
      <c r="I22" s="9" t="s">
        <v>148</v>
      </c>
      <c r="J22" s="18" t="s">
        <v>1</v>
      </c>
      <c r="K22" s="9" t="s">
        <v>148</v>
      </c>
      <c r="L22" s="18" t="s">
        <v>2</v>
      </c>
      <c r="M22" s="9" t="s">
        <v>148</v>
      </c>
      <c r="N22" s="18" t="s">
        <v>3</v>
      </c>
      <c r="O22" s="9" t="s">
        <v>148</v>
      </c>
      <c r="P22" s="18" t="s">
        <v>4</v>
      </c>
      <c r="Q22" s="9" t="s">
        <v>148</v>
      </c>
      <c r="R22" s="18" t="s">
        <v>5</v>
      </c>
      <c r="S22" s="9" t="s">
        <v>148</v>
      </c>
      <c r="T22" s="18" t="s">
        <v>6</v>
      </c>
      <c r="U22" s="9" t="s">
        <v>148</v>
      </c>
      <c r="V22" s="18" t="s">
        <v>7</v>
      </c>
      <c r="W22" s="9" t="s">
        <v>148</v>
      </c>
      <c r="X22" s="18" t="s">
        <v>8</v>
      </c>
      <c r="Y22" s="9" t="s">
        <v>148</v>
      </c>
      <c r="Z22" s="18" t="s">
        <v>9</v>
      </c>
      <c r="AA22" s="9" t="s">
        <v>148</v>
      </c>
      <c r="AB22" s="18" t="s">
        <v>10</v>
      </c>
      <c r="AC22" s="9" t="s">
        <v>148</v>
      </c>
      <c r="AD22" s="18" t="s">
        <v>11</v>
      </c>
      <c r="AE22" s="9" t="s">
        <v>148</v>
      </c>
      <c r="AF22" s="18" t="s">
        <v>12</v>
      </c>
      <c r="AG22" s="9" t="s">
        <v>148</v>
      </c>
      <c r="AH22" s="18" t="s">
        <v>13</v>
      </c>
      <c r="AI22" s="9" t="s">
        <v>148</v>
      </c>
      <c r="AJ22" s="18" t="s">
        <v>14</v>
      </c>
      <c r="AK22" s="9" t="s">
        <v>148</v>
      </c>
      <c r="AL22" s="18" t="s">
        <v>15</v>
      </c>
      <c r="AM22" s="9" t="s">
        <v>148</v>
      </c>
      <c r="AN22" s="18" t="s">
        <v>16</v>
      </c>
      <c r="AO22" s="9" t="s">
        <v>148</v>
      </c>
      <c r="AP22" s="18" t="s">
        <v>17</v>
      </c>
      <c r="AQ22" s="9" t="s">
        <v>148</v>
      </c>
      <c r="AR22" s="18" t="s">
        <v>18</v>
      </c>
      <c r="AS22" s="9" t="s">
        <v>148</v>
      </c>
      <c r="AT22" s="18" t="s">
        <v>19</v>
      </c>
      <c r="AU22" s="9" t="s">
        <v>148</v>
      </c>
      <c r="AV22" s="18" t="s">
        <v>363</v>
      </c>
      <c r="AW22" s="9" t="s">
        <v>148</v>
      </c>
      <c r="AX22" s="18" t="s">
        <v>364</v>
      </c>
      <c r="AY22" s="9" t="s">
        <v>148</v>
      </c>
      <c r="AZ22" s="18" t="s">
        <v>365</v>
      </c>
      <c r="BA22" s="9" t="s">
        <v>148</v>
      </c>
      <c r="BB22" s="18" t="s">
        <v>366</v>
      </c>
      <c r="BC22" s="9" t="s">
        <v>148</v>
      </c>
      <c r="BD22" s="18" t="s">
        <v>367</v>
      </c>
      <c r="BE22" s="9" t="s">
        <v>148</v>
      </c>
      <c r="BF22" s="18" t="s">
        <v>368</v>
      </c>
      <c r="BG22" s="9" t="s">
        <v>148</v>
      </c>
      <c r="BH22" s="18" t="s">
        <v>369</v>
      </c>
      <c r="BI22" s="9" t="s">
        <v>148</v>
      </c>
      <c r="BJ22" s="18" t="s">
        <v>370</v>
      </c>
      <c r="BK22" s="9" t="s">
        <v>148</v>
      </c>
      <c r="BL22" s="18" t="s">
        <v>371</v>
      </c>
      <c r="BM22" s="9" t="s">
        <v>148</v>
      </c>
      <c r="BN22" s="18" t="s">
        <v>372</v>
      </c>
      <c r="BO22" s="9" t="s">
        <v>148</v>
      </c>
      <c r="BP22" s="18" t="s">
        <v>373</v>
      </c>
      <c r="BQ22" s="9" t="s">
        <v>148</v>
      </c>
    </row>
    <row r="23" spans="1:69" ht="19.5" thickBot="1" x14ac:dyDescent="0.35">
      <c r="A23" s="54" t="s">
        <v>442</v>
      </c>
      <c r="B23" s="54" t="s">
        <v>441</v>
      </c>
      <c r="C23" s="56" t="s">
        <v>439</v>
      </c>
      <c r="D23" s="57" t="str">
        <f>IF(G20=G5,F23,IF(G20=G4,F24,F25))</f>
        <v>С реверсивным приводом, 230В, Iном &lt; 1А</v>
      </c>
      <c r="E23" s="371" t="s">
        <v>149</v>
      </c>
      <c r="F23" s="20" t="str">
        <f>CONCATENATE(A23,E21)</f>
        <v>С реверсивным приводом, 230В, Iном &lt; 1А</v>
      </c>
      <c r="G23" s="21"/>
      <c r="H23" s="22"/>
      <c r="I23" s="23"/>
      <c r="J23" s="22"/>
      <c r="K23" s="23"/>
      <c r="L23" s="22"/>
      <c r="M23" s="23"/>
      <c r="N23" s="22"/>
      <c r="O23" s="23"/>
      <c r="P23" s="22"/>
      <c r="Q23" s="23"/>
      <c r="R23" s="22"/>
      <c r="S23" s="23"/>
      <c r="T23" s="22"/>
      <c r="U23" s="23"/>
      <c r="V23" s="22"/>
      <c r="W23" s="23"/>
      <c r="X23" s="22"/>
      <c r="Y23" s="23"/>
      <c r="Z23" s="22"/>
      <c r="AA23" s="23"/>
      <c r="AB23" s="22"/>
      <c r="AC23" s="23"/>
      <c r="AD23" s="22"/>
      <c r="AE23" s="23"/>
      <c r="AF23" s="22"/>
      <c r="AG23" s="23"/>
      <c r="AH23" s="22"/>
      <c r="AI23" s="23"/>
      <c r="AJ23" s="22"/>
      <c r="AK23" s="23"/>
      <c r="AL23" s="22"/>
      <c r="AM23" s="23"/>
      <c r="AN23" s="22"/>
      <c r="AO23" s="23"/>
      <c r="AP23" s="22"/>
      <c r="AQ23" s="23"/>
      <c r="AR23" s="22"/>
      <c r="AS23" s="23"/>
      <c r="AT23" s="22"/>
      <c r="AU23" s="23"/>
      <c r="AV23" s="22"/>
      <c r="AW23" s="23"/>
      <c r="AX23" s="22"/>
      <c r="AY23" s="23"/>
      <c r="AZ23" s="22"/>
      <c r="BA23" s="23"/>
      <c r="BB23" s="22"/>
      <c r="BC23" s="23"/>
      <c r="BD23" s="22"/>
      <c r="BE23" s="23"/>
      <c r="BF23" s="22"/>
      <c r="BG23" s="23"/>
      <c r="BH23" s="22"/>
      <c r="BI23" s="23"/>
      <c r="BJ23" s="22"/>
      <c r="BK23" s="23"/>
      <c r="BL23" s="22"/>
      <c r="BM23" s="23"/>
      <c r="BN23" s="22"/>
      <c r="BO23" s="23"/>
      <c r="BP23" s="22"/>
      <c r="BQ23" s="23"/>
    </row>
    <row r="24" spans="1:69" x14ac:dyDescent="0.25">
      <c r="A24" s="58" t="s">
        <v>229</v>
      </c>
      <c r="B24" s="58" t="s">
        <v>427</v>
      </c>
      <c r="C24" s="58" t="s">
        <v>228</v>
      </c>
      <c r="D24" s="57" t="str">
        <f>IF(J20=J6,A24,IF(J20=J5,B24,C24))</f>
        <v>Степень защиты оболочки IP31</v>
      </c>
      <c r="E24" s="372"/>
      <c r="F24" s="20" t="str">
        <f>CONCATENATE(B23,E21)</f>
        <v>Привод - с возвратной пружиной, 230В, Iном &lt; 1А</v>
      </c>
      <c r="G24" s="23"/>
      <c r="H24" s="22"/>
      <c r="I24" s="23"/>
      <c r="J24" s="22"/>
      <c r="K24" s="23"/>
      <c r="L24" s="22"/>
      <c r="M24" s="23"/>
      <c r="N24" s="22"/>
      <c r="O24" s="23"/>
      <c r="P24" s="22"/>
      <c r="Q24" s="23"/>
      <c r="R24" s="22"/>
      <c r="S24" s="23"/>
      <c r="T24" s="22"/>
      <c r="U24" s="23"/>
      <c r="V24" s="22"/>
      <c r="W24" s="23"/>
      <c r="X24" s="22"/>
      <c r="Y24" s="23"/>
      <c r="Z24" s="22"/>
      <c r="AA24" s="23"/>
      <c r="AB24" s="22"/>
      <c r="AC24" s="23"/>
      <c r="AD24" s="22"/>
      <c r="AE24" s="23"/>
      <c r="AF24" s="22"/>
      <c r="AG24" s="23"/>
      <c r="AH24" s="22"/>
      <c r="AI24" s="23"/>
      <c r="AJ24" s="22"/>
      <c r="AK24" s="23"/>
      <c r="AL24" s="22"/>
      <c r="AM24" s="23"/>
      <c r="AN24" s="22"/>
      <c r="AO24" s="23"/>
      <c r="AP24" s="22"/>
      <c r="AQ24" s="23"/>
      <c r="AR24" s="22"/>
      <c r="AS24" s="23"/>
      <c r="AT24" s="22"/>
      <c r="AU24" s="23"/>
      <c r="AV24" s="22"/>
      <c r="AW24" s="23"/>
      <c r="AX24" s="22"/>
      <c r="AY24" s="23"/>
      <c r="AZ24" s="22"/>
      <c r="BA24" s="23"/>
      <c r="BB24" s="22"/>
      <c r="BC24" s="23"/>
      <c r="BD24" s="22"/>
      <c r="BE24" s="23"/>
      <c r="BF24" s="22"/>
      <c r="BG24" s="23"/>
      <c r="BH24" s="22"/>
      <c r="BI24" s="23"/>
      <c r="BJ24" s="22"/>
      <c r="BK24" s="23"/>
      <c r="BL24" s="22"/>
      <c r="BM24" s="23"/>
      <c r="BN24" s="22"/>
      <c r="BO24" s="23"/>
      <c r="BP24" s="22"/>
      <c r="BQ24" s="23"/>
    </row>
    <row r="25" spans="1:69" ht="15.75" thickBot="1" x14ac:dyDescent="0.3">
      <c r="A25" s="64">
        <f>N20</f>
        <v>3</v>
      </c>
      <c r="B25" s="65" t="s">
        <v>230</v>
      </c>
      <c r="C25" s="66" t="str">
        <f>IF(A25=1,"-м",IF(A25&lt;5,"-мя","-ю"))</f>
        <v>-мя</v>
      </c>
      <c r="D25" s="67" t="s">
        <v>231</v>
      </c>
      <c r="E25" s="372"/>
      <c r="F25" s="20" t="str">
        <f>CONCATENATE(C23,E21)</f>
        <v>С электромагнитным приводом, 230В, Iном &lt; 1А</v>
      </c>
      <c r="G25" s="23"/>
      <c r="H25" s="22"/>
      <c r="I25" s="23"/>
      <c r="J25" s="22"/>
      <c r="K25" s="23"/>
      <c r="L25" s="22"/>
      <c r="M25" s="23"/>
      <c r="N25" s="22"/>
      <c r="O25" s="23"/>
      <c r="P25" s="22"/>
      <c r="Q25" s="23"/>
      <c r="R25" s="22"/>
      <c r="S25" s="23"/>
      <c r="T25" s="22"/>
      <c r="U25" s="23"/>
      <c r="V25" s="22"/>
      <c r="W25" s="23"/>
      <c r="X25" s="22"/>
      <c r="Y25" s="23"/>
      <c r="Z25" s="22"/>
      <c r="AA25" s="23"/>
      <c r="AB25" s="22"/>
      <c r="AC25" s="23"/>
      <c r="AD25" s="22"/>
      <c r="AE25" s="23"/>
      <c r="AF25" s="22"/>
      <c r="AG25" s="23"/>
      <c r="AH25" s="22"/>
      <c r="AI25" s="23"/>
      <c r="AJ25" s="22"/>
      <c r="AK25" s="23"/>
      <c r="AL25" s="22"/>
      <c r="AM25" s="23"/>
      <c r="AN25" s="22"/>
      <c r="AO25" s="23"/>
      <c r="AP25" s="22"/>
      <c r="AQ25" s="23"/>
      <c r="AR25" s="22"/>
      <c r="AS25" s="23"/>
      <c r="AT25" s="22"/>
      <c r="AU25" s="23"/>
      <c r="AV25" s="22"/>
      <c r="AW25" s="23"/>
      <c r="AX25" s="22"/>
      <c r="AY25" s="23"/>
      <c r="AZ25" s="22"/>
      <c r="BA25" s="23"/>
      <c r="BB25" s="22"/>
      <c r="BC25" s="23"/>
      <c r="BD25" s="22"/>
      <c r="BE25" s="23"/>
      <c r="BF25" s="22"/>
      <c r="BG25" s="23"/>
      <c r="BH25" s="22"/>
      <c r="BI25" s="23"/>
      <c r="BJ25" s="22"/>
      <c r="BK25" s="23"/>
      <c r="BL25" s="22"/>
      <c r="BM25" s="23"/>
      <c r="BN25" s="22"/>
      <c r="BO25" s="23"/>
      <c r="BP25" s="22"/>
      <c r="BQ25" s="23"/>
    </row>
    <row r="26" spans="1:69" x14ac:dyDescent="0.25">
      <c r="A26" s="54" t="s">
        <v>232</v>
      </c>
      <c r="B26" s="55" t="s">
        <v>233</v>
      </c>
      <c r="C26" s="56" t="s">
        <v>234</v>
      </c>
      <c r="D26" s="57" t="s">
        <v>235</v>
      </c>
      <c r="E26" s="372"/>
      <c r="F26" s="22"/>
      <c r="G26" s="23"/>
      <c r="H26" s="22"/>
      <c r="I26" s="23"/>
      <c r="J26" s="22"/>
      <c r="K26" s="23"/>
      <c r="L26" s="22"/>
      <c r="M26" s="23"/>
      <c r="N26" s="22"/>
      <c r="O26" s="23"/>
      <c r="P26" s="22"/>
      <c r="Q26" s="23"/>
      <c r="R26" s="22"/>
      <c r="S26" s="23"/>
      <c r="T26" s="22"/>
      <c r="U26" s="23"/>
      <c r="V26" s="22"/>
      <c r="W26" s="23"/>
      <c r="X26" s="22"/>
      <c r="Y26" s="23"/>
      <c r="Z26" s="22"/>
      <c r="AA26" s="23"/>
      <c r="AB26" s="22"/>
      <c r="AC26" s="23"/>
      <c r="AD26" s="22"/>
      <c r="AE26" s="23"/>
      <c r="AF26" s="22"/>
      <c r="AG26" s="23"/>
      <c r="AH26" s="22"/>
      <c r="AI26" s="23"/>
      <c r="AJ26" s="22"/>
      <c r="AK26" s="23"/>
      <c r="AL26" s="22"/>
      <c r="AM26" s="23"/>
      <c r="AN26" s="22"/>
      <c r="AO26" s="23"/>
      <c r="AP26" s="22"/>
      <c r="AQ26" s="23"/>
      <c r="AR26" s="22"/>
      <c r="AS26" s="23"/>
      <c r="AT26" s="22"/>
      <c r="AU26" s="23"/>
      <c r="AV26" s="22"/>
      <c r="AW26" s="23"/>
      <c r="AX26" s="22"/>
      <c r="AY26" s="23"/>
      <c r="AZ26" s="22"/>
      <c r="BA26" s="23"/>
      <c r="BB26" s="22"/>
      <c r="BC26" s="23"/>
      <c r="BD26" s="22"/>
      <c r="BE26" s="23"/>
      <c r="BF26" s="22"/>
      <c r="BG26" s="23"/>
      <c r="BH26" s="22"/>
      <c r="BI26" s="23"/>
      <c r="BJ26" s="22"/>
      <c r="BK26" s="23"/>
      <c r="BL26" s="22"/>
      <c r="BM26" s="23"/>
      <c r="BN26" s="22"/>
      <c r="BO26" s="23"/>
      <c r="BP26" s="22"/>
      <c r="BQ26" s="23"/>
    </row>
    <row r="27" spans="1:69" ht="15.75" thickBot="1" x14ac:dyDescent="0.3">
      <c r="A27" s="60" t="str">
        <f>T20</f>
        <v>24D</v>
      </c>
      <c r="B27" s="61" t="str">
        <f>IF(A27=T6,C26,IF(A27=T7,D26,B26))</f>
        <v xml:space="preserve"> (напряжение 24VDC)</v>
      </c>
      <c r="C27" s="62"/>
      <c r="D27" s="63"/>
      <c r="E27" s="372"/>
      <c r="F27" s="22"/>
      <c r="G27" s="23"/>
      <c r="H27" s="22"/>
      <c r="I27" s="23"/>
      <c r="J27" s="22"/>
      <c r="K27" s="23"/>
      <c r="L27" s="22"/>
      <c r="M27" s="23"/>
      <c r="N27" s="22"/>
      <c r="O27" s="23"/>
      <c r="P27" s="22"/>
      <c r="Q27" s="23"/>
      <c r="R27" s="22"/>
      <c r="S27" s="23"/>
      <c r="T27" s="22"/>
      <c r="U27" s="23"/>
      <c r="V27" s="22"/>
      <c r="W27" s="23"/>
      <c r="X27" s="22"/>
      <c r="Y27" s="23"/>
      <c r="Z27" s="22"/>
      <c r="AA27" s="23"/>
      <c r="AB27" s="22"/>
      <c r="AC27" s="23"/>
      <c r="AD27" s="22"/>
      <c r="AE27" s="23"/>
      <c r="AF27" s="22"/>
      <c r="AG27" s="23"/>
      <c r="AH27" s="22"/>
      <c r="AI27" s="23"/>
      <c r="AJ27" s="22"/>
      <c r="AK27" s="23"/>
      <c r="AL27" s="22"/>
      <c r="AM27" s="23"/>
      <c r="AN27" s="22"/>
      <c r="AO27" s="23"/>
      <c r="AP27" s="22"/>
      <c r="AQ27" s="23"/>
      <c r="AR27" s="22"/>
      <c r="AS27" s="23"/>
      <c r="AT27" s="22"/>
      <c r="AU27" s="23"/>
      <c r="AV27" s="22"/>
      <c r="AW27" s="23"/>
      <c r="AX27" s="22"/>
      <c r="AY27" s="23"/>
      <c r="AZ27" s="22"/>
      <c r="BA27" s="23"/>
      <c r="BB27" s="22"/>
      <c r="BC27" s="23"/>
      <c r="BD27" s="22"/>
      <c r="BE27" s="23"/>
      <c r="BF27" s="22"/>
      <c r="BG27" s="23"/>
      <c r="BH27" s="22"/>
      <c r="BI27" s="23"/>
      <c r="BJ27" s="22"/>
      <c r="BK27" s="23"/>
      <c r="BL27" s="22"/>
      <c r="BM27" s="23"/>
      <c r="BN27" s="22"/>
      <c r="BO27" s="23"/>
      <c r="BP27" s="22"/>
      <c r="BQ27" s="23"/>
    </row>
    <row r="28" spans="1:69" x14ac:dyDescent="0.25">
      <c r="A28" s="68">
        <f>V20</f>
        <v>0</v>
      </c>
      <c r="B28" s="49" t="str">
        <f>IF(A28=V5,C28,D28)</f>
        <v/>
      </c>
      <c r="C28" s="50" t="s">
        <v>426</v>
      </c>
      <c r="D28" s="59" t="str">
        <f>""</f>
        <v/>
      </c>
      <c r="E28" s="372"/>
      <c r="F28" s="22"/>
      <c r="G28" s="23"/>
      <c r="H28" s="22"/>
      <c r="I28" s="23"/>
      <c r="J28" s="22"/>
      <c r="K28" s="23"/>
      <c r="L28" s="22"/>
      <c r="M28" s="23"/>
      <c r="N28" s="22"/>
      <c r="O28" s="23"/>
      <c r="P28" s="22"/>
      <c r="Q28" s="23"/>
      <c r="R28" s="22"/>
      <c r="S28" s="23"/>
      <c r="T28" s="22"/>
      <c r="U28" s="23"/>
      <c r="V28" s="22"/>
      <c r="W28" s="23"/>
      <c r="X28" s="22"/>
      <c r="Y28" s="23"/>
      <c r="Z28" s="22"/>
      <c r="AA28" s="23"/>
      <c r="AB28" s="22"/>
      <c r="AC28" s="23"/>
      <c r="AD28" s="22"/>
      <c r="AE28" s="23"/>
      <c r="AF28" s="22"/>
      <c r="AG28" s="23"/>
      <c r="AH28" s="22"/>
      <c r="AI28" s="23"/>
      <c r="AJ28" s="22"/>
      <c r="AK28" s="23"/>
      <c r="AL28" s="22"/>
      <c r="AM28" s="23"/>
      <c r="AN28" s="22"/>
      <c r="AO28" s="23"/>
      <c r="AP28" s="22"/>
      <c r="AQ28" s="23"/>
      <c r="AR28" s="22"/>
      <c r="AS28" s="23"/>
      <c r="AT28" s="22"/>
      <c r="AU28" s="23"/>
      <c r="AV28" s="22"/>
      <c r="AW28" s="23"/>
      <c r="AX28" s="22"/>
      <c r="AY28" s="23"/>
      <c r="AZ28" s="22"/>
      <c r="BA28" s="23"/>
      <c r="BB28" s="22"/>
      <c r="BC28" s="23"/>
      <c r="BD28" s="22"/>
      <c r="BE28" s="23"/>
      <c r="BF28" s="22"/>
      <c r="BG28" s="23"/>
      <c r="BH28" s="22"/>
      <c r="BI28" s="23"/>
      <c r="BJ28" s="22"/>
      <c r="BK28" s="23"/>
      <c r="BL28" s="22"/>
      <c r="BM28" s="23"/>
      <c r="BN28" s="22"/>
      <c r="BO28" s="23"/>
      <c r="BP28" s="22"/>
      <c r="BQ28" s="23"/>
    </row>
    <row r="29" spans="1:69" x14ac:dyDescent="0.25">
      <c r="A29" s="58" t="s">
        <v>407</v>
      </c>
      <c r="B29" s="49" t="s">
        <v>408</v>
      </c>
      <c r="C29" s="51" t="str">
        <f>CONCATENATE(B29,X20,A29)</f>
        <v>Пожарных зон: 1 шт.</v>
      </c>
      <c r="D29" s="59">
        <v>2800</v>
      </c>
      <c r="E29" s="372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22"/>
      <c r="Q29" s="23"/>
      <c r="R29" s="22"/>
      <c r="S29" s="23"/>
      <c r="T29" s="22"/>
      <c r="U29" s="23"/>
      <c r="V29" s="22"/>
      <c r="W29" s="23"/>
      <c r="X29" s="22"/>
      <c r="Y29" s="23"/>
      <c r="Z29" s="22"/>
      <c r="AA29" s="23"/>
      <c r="AB29" s="22"/>
      <c r="AC29" s="23"/>
      <c r="AD29" s="22"/>
      <c r="AE29" s="23"/>
      <c r="AF29" s="22"/>
      <c r="AG29" s="23"/>
      <c r="AH29" s="22"/>
      <c r="AI29" s="23"/>
      <c r="AJ29" s="22"/>
      <c r="AK29" s="23"/>
      <c r="AL29" s="22"/>
      <c r="AM29" s="23"/>
      <c r="AN29" s="22"/>
      <c r="AO29" s="23"/>
      <c r="AP29" s="22"/>
      <c r="AQ29" s="23"/>
      <c r="AR29" s="22"/>
      <c r="AS29" s="23"/>
      <c r="AT29" s="22"/>
      <c r="AU29" s="23"/>
      <c r="AV29" s="22"/>
      <c r="AW29" s="23"/>
      <c r="AX29" s="22"/>
      <c r="AY29" s="23"/>
      <c r="AZ29" s="22"/>
      <c r="BA29" s="23"/>
      <c r="BB29" s="22"/>
      <c r="BC29" s="23"/>
      <c r="BD29" s="22"/>
      <c r="BE29" s="23"/>
      <c r="BF29" s="22"/>
      <c r="BG29" s="23"/>
      <c r="BH29" s="22"/>
      <c r="BI29" s="23"/>
      <c r="BJ29" s="22"/>
      <c r="BK29" s="23"/>
      <c r="BL29" s="22"/>
      <c r="BM29" s="23"/>
      <c r="BN29" s="22"/>
      <c r="BO29" s="23"/>
      <c r="BP29" s="22"/>
      <c r="BQ29" s="23"/>
    </row>
    <row r="30" spans="1:69" x14ac:dyDescent="0.25">
      <c r="A30" s="58">
        <f>Z20</f>
        <v>0</v>
      </c>
      <c r="B30" s="49" t="str">
        <f>IF(A30=Z5,C30,D30)</f>
        <v/>
      </c>
      <c r="C30" s="50" t="s">
        <v>425</v>
      </c>
      <c r="D30" s="59" t="str">
        <f>""</f>
        <v/>
      </c>
      <c r="E30" s="372"/>
      <c r="F30" s="22"/>
      <c r="G30" s="23"/>
      <c r="H30" s="22"/>
      <c r="I30" s="23"/>
      <c r="J30" s="22"/>
      <c r="K30" s="23"/>
      <c r="L30" s="22"/>
      <c r="M30" s="23"/>
      <c r="N30" s="22"/>
      <c r="O30" s="23"/>
      <c r="P30" s="22"/>
      <c r="Q30" s="23"/>
      <c r="R30" s="22"/>
      <c r="S30" s="23"/>
      <c r="T30" s="22"/>
      <c r="U30" s="23"/>
      <c r="V30" s="22"/>
      <c r="W30" s="23"/>
      <c r="X30" s="22"/>
      <c r="Y30" s="23"/>
      <c r="Z30" s="22"/>
      <c r="AA30" s="23"/>
      <c r="AB30" s="22"/>
      <c r="AC30" s="23"/>
      <c r="AD30" s="22"/>
      <c r="AE30" s="23"/>
      <c r="AF30" s="22"/>
      <c r="AG30" s="23"/>
      <c r="AH30" s="22"/>
      <c r="AI30" s="23"/>
      <c r="AJ30" s="22"/>
      <c r="AK30" s="23"/>
      <c r="AL30" s="22"/>
      <c r="AM30" s="23"/>
      <c r="AN30" s="22"/>
      <c r="AO30" s="23"/>
      <c r="AP30" s="22"/>
      <c r="AQ30" s="23"/>
      <c r="AR30" s="22"/>
      <c r="AS30" s="23"/>
      <c r="AT30" s="22"/>
      <c r="AU30" s="23"/>
      <c r="AV30" s="22"/>
      <c r="AW30" s="23"/>
      <c r="AX30" s="22"/>
      <c r="AY30" s="23"/>
      <c r="AZ30" s="22"/>
      <c r="BA30" s="23"/>
      <c r="BB30" s="22"/>
      <c r="BC30" s="23"/>
      <c r="BD30" s="22"/>
      <c r="BE30" s="23"/>
      <c r="BF30" s="22"/>
      <c r="BG30" s="23"/>
      <c r="BH30" s="22"/>
      <c r="BI30" s="23"/>
      <c r="BJ30" s="22"/>
      <c r="BK30" s="23"/>
      <c r="BL30" s="22"/>
      <c r="BM30" s="23"/>
      <c r="BN30" s="22"/>
      <c r="BO30" s="23"/>
      <c r="BP30" s="22"/>
      <c r="BQ30" s="23"/>
    </row>
    <row r="31" spans="1:69" ht="15.75" thickBot="1" x14ac:dyDescent="0.3">
      <c r="A31" s="58">
        <v>30</v>
      </c>
      <c r="B31" s="49" t="s">
        <v>135</v>
      </c>
      <c r="C31" s="51">
        <v>30</v>
      </c>
      <c r="D31" s="59">
        <v>3000</v>
      </c>
      <c r="E31" s="372"/>
      <c r="F31" s="22"/>
      <c r="G31" s="23"/>
      <c r="H31" s="27"/>
      <c r="I31" s="23"/>
      <c r="J31" s="22"/>
      <c r="K31" s="23"/>
      <c r="L31" s="22"/>
      <c r="M31" s="23"/>
      <c r="N31" s="22"/>
      <c r="O31" s="23"/>
      <c r="P31" s="22"/>
      <c r="Q31" s="23"/>
      <c r="R31" s="22"/>
      <c r="S31" s="23"/>
      <c r="T31" s="22"/>
      <c r="U31" s="23"/>
      <c r="V31" s="22"/>
      <c r="W31" s="23"/>
      <c r="X31" s="22"/>
      <c r="Y31" s="23"/>
      <c r="Z31" s="22"/>
      <c r="AA31" s="23"/>
      <c r="AB31" s="22"/>
      <c r="AC31" s="23"/>
      <c r="AD31" s="22"/>
      <c r="AE31" s="23"/>
      <c r="AF31" s="22"/>
      <c r="AG31" s="23"/>
      <c r="AH31" s="22"/>
      <c r="AI31" s="23"/>
      <c r="AJ31" s="22"/>
      <c r="AK31" s="23"/>
      <c r="AL31" s="22"/>
      <c r="AM31" s="23"/>
      <c r="AN31" s="22"/>
      <c r="AO31" s="23"/>
      <c r="AP31" s="22"/>
      <c r="AQ31" s="23"/>
      <c r="AR31" s="22"/>
      <c r="AS31" s="23"/>
      <c r="AT31" s="22"/>
      <c r="AU31" s="23"/>
      <c r="AV31" s="22"/>
      <c r="AW31" s="23"/>
      <c r="AX31" s="22"/>
      <c r="AY31" s="23"/>
      <c r="AZ31" s="22"/>
      <c r="BA31" s="23"/>
      <c r="BB31" s="22"/>
      <c r="BC31" s="23"/>
      <c r="BD31" s="22"/>
      <c r="BE31" s="23"/>
      <c r="BF31" s="22"/>
      <c r="BG31" s="23"/>
      <c r="BH31" s="22"/>
      <c r="BI31" s="23"/>
      <c r="BJ31" s="22"/>
      <c r="BK31" s="23"/>
      <c r="BL31" s="22"/>
      <c r="BM31" s="23"/>
      <c r="BN31" s="22"/>
      <c r="BO31" s="23"/>
      <c r="BP31" s="22"/>
      <c r="BQ31" s="23"/>
    </row>
    <row r="32" spans="1:69" ht="15.75" thickBot="1" x14ac:dyDescent="0.3">
      <c r="A32" s="58">
        <v>31</v>
      </c>
      <c r="B32" s="49" t="s">
        <v>136</v>
      </c>
      <c r="C32" s="51">
        <v>31</v>
      </c>
      <c r="D32" s="59">
        <v>3100</v>
      </c>
      <c r="E32" s="372"/>
      <c r="F32" s="22"/>
      <c r="G32" s="23"/>
      <c r="H32" s="232">
        <f>IF(X20&lt;3,0,IF(X20&lt;5,1,2))</f>
        <v>0</v>
      </c>
      <c r="I32" s="238"/>
      <c r="J32" s="22"/>
      <c r="K32" s="23"/>
      <c r="L32" s="22"/>
      <c r="M32" s="23"/>
      <c r="N32" s="22"/>
      <c r="O32" s="23"/>
      <c r="P32" s="22"/>
      <c r="Q32" s="23"/>
      <c r="R32" s="22"/>
      <c r="S32" s="23"/>
      <c r="T32" s="22"/>
      <c r="U32" s="23"/>
      <c r="V32" s="22"/>
      <c r="W32" s="23"/>
      <c r="X32" s="22"/>
      <c r="Y32" s="23"/>
      <c r="Z32" s="22"/>
      <c r="AA32" s="23"/>
      <c r="AB32" s="22"/>
      <c r="AC32" s="23"/>
      <c r="AD32" s="22"/>
      <c r="AE32" s="23"/>
      <c r="AF32" s="22"/>
      <c r="AG32" s="23"/>
      <c r="AH32" s="22"/>
      <c r="AI32" s="23"/>
      <c r="AJ32" s="22"/>
      <c r="AK32" s="23"/>
      <c r="AL32" s="22"/>
      <c r="AM32" s="23"/>
      <c r="AN32" s="22"/>
      <c r="AO32" s="23"/>
      <c r="AP32" s="22"/>
      <c r="AQ32" s="23"/>
      <c r="AR32" s="22"/>
      <c r="AS32" s="23"/>
      <c r="AT32" s="22"/>
      <c r="AU32" s="23"/>
      <c r="AV32" s="22"/>
      <c r="AW32" s="23"/>
      <c r="AX32" s="22"/>
      <c r="AY32" s="23"/>
      <c r="AZ32" s="22"/>
      <c r="BA32" s="23"/>
      <c r="BB32" s="22"/>
      <c r="BC32" s="23"/>
      <c r="BD32" s="22"/>
      <c r="BE32" s="23"/>
      <c r="BF32" s="22"/>
      <c r="BG32" s="23"/>
      <c r="BH32" s="22"/>
      <c r="BI32" s="23"/>
      <c r="BJ32" s="22"/>
      <c r="BK32" s="23"/>
      <c r="BL32" s="22"/>
      <c r="BM32" s="23"/>
      <c r="BN32" s="22"/>
      <c r="BO32" s="23"/>
      <c r="BP32" s="22"/>
      <c r="BQ32" s="23"/>
    </row>
    <row r="33" spans="1:69" ht="15.75" thickBot="1" x14ac:dyDescent="0.3">
      <c r="A33" s="58">
        <v>32</v>
      </c>
      <c r="B33" s="49" t="s">
        <v>137</v>
      </c>
      <c r="C33" s="51">
        <v>32</v>
      </c>
      <c r="D33" s="59">
        <v>3200</v>
      </c>
      <c r="E33" s="373"/>
      <c r="F33" s="27"/>
      <c r="G33" s="43"/>
      <c r="H33" s="52">
        <f>IF(T20=T5,0,IF(H34=B45,E45,E46))</f>
        <v>1</v>
      </c>
      <c r="I33" s="25"/>
      <c r="J33" s="18">
        <f>IF(E47&gt;0,E47,IF(E48&gt;0,E48,IF(E49&gt;0,E49,E51)))</f>
        <v>1</v>
      </c>
      <c r="K33" s="25"/>
      <c r="L33" s="24" t="str">
        <f>IF(E48=0,"",E50)</f>
        <v/>
      </c>
      <c r="M33" s="25"/>
      <c r="N33" s="24">
        <f>E52</f>
        <v>1</v>
      </c>
      <c r="O33" s="25"/>
      <c r="P33" s="24">
        <f>E53</f>
        <v>1</v>
      </c>
      <c r="Q33" s="25"/>
      <c r="R33" s="24">
        <f>E54</f>
        <v>1</v>
      </c>
      <c r="S33" s="25"/>
      <c r="T33" s="24">
        <f>E55</f>
        <v>1</v>
      </c>
      <c r="U33" s="25"/>
      <c r="V33" s="24">
        <f>E56</f>
        <v>1</v>
      </c>
      <c r="W33" s="25"/>
      <c r="X33" s="24">
        <f>E57</f>
        <v>2</v>
      </c>
      <c r="Y33" s="25"/>
      <c r="Z33" s="24">
        <f>E58</f>
        <v>2</v>
      </c>
      <c r="AA33" s="25"/>
      <c r="AB33" s="24">
        <f>E59</f>
        <v>2</v>
      </c>
      <c r="AC33" s="25"/>
      <c r="AD33" s="24">
        <f>E60</f>
        <v>1</v>
      </c>
      <c r="AE33" s="25"/>
      <c r="AF33" s="24">
        <f>E61</f>
        <v>1</v>
      </c>
      <c r="AG33" s="25"/>
      <c r="AH33" s="24">
        <f>E62</f>
        <v>1</v>
      </c>
      <c r="AI33" s="25"/>
      <c r="AJ33" s="24">
        <f>E63</f>
        <v>6</v>
      </c>
      <c r="AK33" s="25"/>
      <c r="AL33" s="24">
        <f>E64</f>
        <v>3</v>
      </c>
      <c r="AM33" s="25"/>
      <c r="AN33" s="24">
        <f>E65</f>
        <v>0</v>
      </c>
      <c r="AO33" s="25"/>
      <c r="AP33" s="24">
        <f>E66</f>
        <v>2</v>
      </c>
      <c r="AQ33" s="25"/>
      <c r="AR33" s="24">
        <f>E67</f>
        <v>6</v>
      </c>
      <c r="AS33" s="25"/>
      <c r="AT33" s="24">
        <f>E68</f>
        <v>1</v>
      </c>
      <c r="AU33" s="25"/>
      <c r="AV33" s="24">
        <f>E69</f>
        <v>1</v>
      </c>
      <c r="AW33" s="25"/>
      <c r="AX33" s="24">
        <f>E70</f>
        <v>2</v>
      </c>
      <c r="AY33" s="25"/>
      <c r="AZ33" s="24">
        <f>E71</f>
        <v>1</v>
      </c>
      <c r="BA33" s="25"/>
      <c r="BB33" s="24">
        <f>E72</f>
        <v>1</v>
      </c>
      <c r="BC33" s="25"/>
      <c r="BD33" s="24">
        <f>E73</f>
        <v>1</v>
      </c>
      <c r="BE33" s="25"/>
      <c r="BF33" s="24"/>
      <c r="BG33" s="25"/>
      <c r="BH33" s="24"/>
      <c r="BI33" s="25"/>
      <c r="BJ33" s="24"/>
      <c r="BK33" s="25"/>
      <c r="BL33" s="24"/>
      <c r="BM33" s="25"/>
      <c r="BN33" s="24"/>
      <c r="BO33" s="25"/>
      <c r="BP33" s="24"/>
      <c r="BQ33" s="25"/>
    </row>
    <row r="34" spans="1:69" ht="16.5" thickBot="1" x14ac:dyDescent="0.3">
      <c r="A34" s="58">
        <v>33</v>
      </c>
      <c r="B34" s="49" t="s">
        <v>138</v>
      </c>
      <c r="C34" s="51">
        <v>33</v>
      </c>
      <c r="D34" s="59">
        <v>3300</v>
      </c>
      <c r="E34" s="26" t="s">
        <v>21</v>
      </c>
      <c r="F34" s="18" t="str">
        <f>CONCATENATE(B44,F44)</f>
        <v>Корпус ЩМП1 (395х310х220)</v>
      </c>
      <c r="G34" s="145">
        <f>J44</f>
        <v>2056</v>
      </c>
      <c r="H34" s="232" t="str">
        <f>IF(E45=0,B46,B45)</f>
        <v>Блок релейный "БР-2-US-IP00"</v>
      </c>
      <c r="I34" s="44">
        <f>IF(E45=0,J46,J45)</f>
        <v>485</v>
      </c>
      <c r="J34" s="18" t="str">
        <f>IF(E47&gt;0,B47,IF(E48&gt;0,B48,IF(E49&gt;0,B49,B51)))</f>
        <v>Контактор КМ-103 9А катушка управления 220В AC</v>
      </c>
      <c r="K34" s="33">
        <f>IF(J34=B47,J47,IF(J34=B48,J48,IF(J34=B49,J49,J51)))</f>
        <v>466.84</v>
      </c>
      <c r="L34" s="18" t="str">
        <f>IF(E48=0,"",B50)</f>
        <v/>
      </c>
      <c r="M34" s="33" t="str">
        <f>IF(E48=0,"",J50)</f>
        <v/>
      </c>
      <c r="N34" s="18" t="str">
        <f>B53</f>
        <v>Выключатель автоматический однополюсный 1А С ВА-101 4.5кА (11049DEK)</v>
      </c>
      <c r="O34" s="322">
        <f>J52</f>
        <v>134.94</v>
      </c>
      <c r="P34" s="18" t="str">
        <f>B53</f>
        <v>Выключатель автоматический однополюсный 1А С ВА-101 4.5кА (11049DEK)</v>
      </c>
      <c r="Q34" s="132">
        <f>J53</f>
        <v>160.07</v>
      </c>
      <c r="R34" s="18" t="str">
        <f>B54</f>
        <v>Реле промышленное миниатюрное; монтаж в колодку; Контакты: 4CO (AgNi), напряжение 230В AC, номинальный ток 6А, опции: кнопка тест + мех.индикатор. R4N-2014-23-5230-WT</v>
      </c>
      <c r="S34" s="132">
        <f>J54</f>
        <v>224</v>
      </c>
      <c r="T34" s="18" t="str">
        <f>B55</f>
        <v>Колодка с винтовыми зажимами (75*27*61мм) для реле серии R4N, T-R4;
цвет серый. GZM4-gray</v>
      </c>
      <c r="U34" s="132">
        <f>J55</f>
        <v>159</v>
      </c>
      <c r="V34" s="18" t="str">
        <f>B56</f>
        <v>Фиксатор металлический для реле R2N, R3N, R4N для колодок GZM2,
GZT2, GZM3, GZT3, GZM4, GZT4, GZMB4, GZ4, GZP4. G4 1052</v>
      </c>
      <c r="W34" s="132">
        <f>J56</f>
        <v>11</v>
      </c>
      <c r="X34" s="18" t="str">
        <f>B57</f>
        <v>Реле миниатюрное электромеханическое низкопрофильное, Контакты: 2CO (AgNi), напряжение 230В AC, номинальный ток 8А, прозрачный корпус, IP40, RTII. RM84-2012-25-5230-RUS</v>
      </c>
      <c r="Y34" s="132">
        <f>J57</f>
        <v>170</v>
      </c>
      <c r="Z34" s="18" t="str">
        <f>B58</f>
        <v>Колодка с винтовыми зажимами для реле серии RM84, RM85,RM87L/P; цвет серый ( в комплекте шильдик маркировочный GZT80-0035). GZM80-gray</v>
      </c>
      <c r="AA34" s="132">
        <f>J58</f>
        <v>113</v>
      </c>
      <c r="AB34" s="18" t="str">
        <f>B59</f>
        <v>Фиксатор металлический для реле RM84, RM85, RM87, для колодок GZT80, GZM80, GZF80, GZT92, GZM92. GZM80-0041</v>
      </c>
      <c r="AC34" s="132">
        <f>J59</f>
        <v>11</v>
      </c>
      <c r="AD34" s="18" t="str">
        <f>B60</f>
        <v>304130, Клеммник на DIN-рейку 4мм.кв. (серый); AVK4 (упак 100 шт)</v>
      </c>
      <c r="AE34" s="132">
        <f>J60</f>
        <v>31.54975</v>
      </c>
      <c r="AF34" s="18" t="str">
        <f>B61</f>
        <v>304131, Клеммник на DIN-рейку 4мм.кв. (синий); AVK4 (упак 100 шт)</v>
      </c>
      <c r="AG34" s="132">
        <f>J61</f>
        <v>31.54975</v>
      </c>
      <c r="AH34" s="18" t="str">
        <f>B62</f>
        <v>334120, Клеммник на DIN-рейку 4 мм.кв., (земля); AVK2,5/4T (упак 50 шт)</v>
      </c>
      <c r="AI34" s="132">
        <f>J62</f>
        <v>111.63760000000001</v>
      </c>
      <c r="AJ34" s="18" t="str">
        <f>B63</f>
        <v>304120, Клеммник на DIN-рейку 2,5мм.кв. (серый); AVK2,5 (упак 100 шт)</v>
      </c>
      <c r="AK34" s="132">
        <f>J63</f>
        <v>27.909400000000002</v>
      </c>
      <c r="AL34" s="18" t="str">
        <f>B64</f>
        <v>304121, Клеммник на DIN-рейку 2,5мм.кв. (синий); AVK2,5 (упак 100 шт)</v>
      </c>
      <c r="AM34" s="132">
        <f>J64</f>
        <v>27.909400000000002</v>
      </c>
      <c r="AN34" s="18" t="str">
        <f>B64</f>
        <v>304121, Клеммник на DIN-рейку 2,5мм.кв. (синий); AVK2,5 (упак 100 шт)</v>
      </c>
      <c r="AO34" s="132">
        <f>J65</f>
        <v>27.909400000000002</v>
      </c>
      <c r="AP34" s="18" t="str">
        <f>B66</f>
        <v>304120, Клеммник на DIN-рейку 2,5мм.кв. (серый); AVK2,5 (упак 100 шт)</v>
      </c>
      <c r="AQ34" s="132">
        <f>J66</f>
        <v>27.909400000000002</v>
      </c>
      <c r="AR34" s="18" t="str">
        <f>B67</f>
        <v>304120, Клеммник на DIN-рейку 2,5мм.кв. (серый); AVK2,5 (упак 100 шт)</v>
      </c>
      <c r="AS34" s="132">
        <f>J67</f>
        <v>27.909400000000002</v>
      </c>
      <c r="AT34" s="18" t="str">
        <f>B68</f>
        <v>Лампа ADDS 22мм зеленая LED 220В</v>
      </c>
      <c r="AU34" s="132">
        <f>J68</f>
        <v>93.7</v>
      </c>
      <c r="AV34" s="18" t="str">
        <f>B69</f>
        <v>Лампа ADDS 22мм красная LED 220В</v>
      </c>
      <c r="AW34" s="132">
        <f>J69</f>
        <v>93.7</v>
      </c>
      <c r="AX34" s="18" t="str">
        <f>B70</f>
        <v>Лампа ADDS 22мм желтая LED 220В</v>
      </c>
      <c r="AY34" s="132">
        <f>J70</f>
        <v>91.15</v>
      </c>
      <c r="AZ34" s="18" t="str">
        <f>B71</f>
        <v>Переключатель AKS-2 22мм с ключом 2 позиции I-O черная ручка</v>
      </c>
      <c r="BA34" s="132">
        <f>J71</f>
        <v>228.78</v>
      </c>
      <c r="BB34" s="18" t="str">
        <f>B72</f>
        <v>Перекл. на 2 пол. I-O удлинн. ручка (1НО+1НЗ) ALCR</v>
      </c>
      <c r="BC34" s="132">
        <f>J72</f>
        <v>257.04000000000002</v>
      </c>
      <c r="BD34" s="18" t="str">
        <f>B73</f>
        <v>Метизы и расходные материалы</v>
      </c>
      <c r="BE34" s="132">
        <f>J73</f>
        <v>500</v>
      </c>
      <c r="BF34" s="18"/>
      <c r="BG34" s="132"/>
      <c r="BH34" s="18"/>
      <c r="BI34" s="132"/>
      <c r="BJ34" s="18"/>
      <c r="BK34" s="132"/>
      <c r="BL34" s="18"/>
      <c r="BM34" s="132"/>
      <c r="BN34" s="18"/>
      <c r="BO34" s="132"/>
      <c r="BP34" s="18"/>
      <c r="BQ34" s="132"/>
    </row>
    <row r="35" spans="1:69" ht="15.75" thickBot="1" x14ac:dyDescent="0.3">
      <c r="A35" s="58">
        <v>34</v>
      </c>
      <c r="B35" s="49" t="s">
        <v>139</v>
      </c>
      <c r="C35" s="51">
        <v>34</v>
      </c>
      <c r="D35" s="59">
        <v>3400</v>
      </c>
    </row>
    <row r="36" spans="1:69" ht="19.5" customHeight="1" thickBot="1" x14ac:dyDescent="0.3">
      <c r="A36" s="58">
        <v>35</v>
      </c>
      <c r="B36" s="49" t="s">
        <v>140</v>
      </c>
      <c r="C36" s="51">
        <v>35</v>
      </c>
      <c r="D36" s="59">
        <v>3500</v>
      </c>
      <c r="E36" s="225">
        <f>L82</f>
        <v>16318.523590000001</v>
      </c>
      <c r="F36" t="str">
        <f>IF(Изделие!B6=2,Расёты!F38,Расёты!F37)</f>
        <v>, с косвенным контролем линий управления</v>
      </c>
      <c r="H36" s="358" t="s">
        <v>24</v>
      </c>
      <c r="I36" s="380" t="str">
        <f>CONCATENATE(B25,A25,C25,D25,F36)</f>
        <v>Щит управления 3-мя клапанами, с косвенным контролем линий управления</v>
      </c>
      <c r="J36" s="380"/>
      <c r="K36" s="381"/>
    </row>
    <row r="37" spans="1:69" ht="15" customHeight="1" x14ac:dyDescent="0.25">
      <c r="A37" s="58">
        <v>36</v>
      </c>
      <c r="B37" s="49" t="s">
        <v>141</v>
      </c>
      <c r="C37" s="51">
        <v>36</v>
      </c>
      <c r="D37" s="59">
        <v>3600</v>
      </c>
      <c r="E37" s="3">
        <v>68</v>
      </c>
      <c r="F37" s="3" t="s">
        <v>435</v>
      </c>
      <c r="G37" s="293"/>
      <c r="H37" s="359"/>
      <c r="I37" s="382" t="str">
        <f>D23</f>
        <v>С реверсивным приводом, 230В, Iном &lt; 1А</v>
      </c>
      <c r="J37" s="382"/>
      <c r="K37" s="383"/>
      <c r="O37" s="86"/>
      <c r="P37" s="376" t="s">
        <v>383</v>
      </c>
      <c r="Q37" s="376"/>
      <c r="R37" s="376"/>
      <c r="S37" s="2" t="s">
        <v>384</v>
      </c>
      <c r="T37" s="2" t="s">
        <v>385</v>
      </c>
      <c r="U37" s="376" t="s">
        <v>386</v>
      </c>
      <c r="V37" s="376"/>
    </row>
    <row r="38" spans="1:69" ht="15" customHeight="1" x14ac:dyDescent="0.25">
      <c r="A38" s="58">
        <v>37</v>
      </c>
      <c r="B38" s="49" t="s">
        <v>142</v>
      </c>
      <c r="C38" s="51">
        <v>37</v>
      </c>
      <c r="D38" s="59">
        <v>3700</v>
      </c>
      <c r="E38" s="3">
        <v>69</v>
      </c>
      <c r="F38" s="3" t="s">
        <v>436</v>
      </c>
      <c r="G38" s="293"/>
      <c r="H38" s="359"/>
      <c r="I38" s="382" t="str">
        <f>CONCATENATE(F43,F44,L38,D24)</f>
        <v>Корпус: ЩМП1 (395х310х220). Степень защиты оболочки IP31</v>
      </c>
      <c r="J38" s="382"/>
      <c r="K38" s="383"/>
      <c r="L38" t="s">
        <v>428</v>
      </c>
      <c r="O38" s="210" t="s">
        <v>387</v>
      </c>
      <c r="P38" s="377" t="s">
        <v>388</v>
      </c>
      <c r="Q38" s="377"/>
      <c r="R38" s="377"/>
      <c r="S38" s="195" t="s">
        <v>389</v>
      </c>
      <c r="T38" s="195" t="s">
        <v>390</v>
      </c>
      <c r="U38" s="377" t="s">
        <v>391</v>
      </c>
      <c r="V38" s="377"/>
    </row>
    <row r="39" spans="1:69" ht="15" customHeight="1" x14ac:dyDescent="0.25">
      <c r="A39" s="58">
        <v>38</v>
      </c>
      <c r="B39" s="49" t="s">
        <v>143</v>
      </c>
      <c r="C39" s="51">
        <v>38</v>
      </c>
      <c r="D39" s="59">
        <v>3800</v>
      </c>
      <c r="E39" s="3">
        <v>70</v>
      </c>
      <c r="F39" s="3"/>
      <c r="G39" s="293"/>
      <c r="H39" s="359"/>
      <c r="I39" s="382" t="str">
        <f>CONCATENATE(A26,A27,B27)</f>
        <v>Управляющий сигнал, от внешних устройств, типа: 24D (напряжение 24VDC)</v>
      </c>
      <c r="J39" s="382"/>
      <c r="K39" s="383"/>
      <c r="O39" s="105" t="s">
        <v>351</v>
      </c>
      <c r="P39" s="378">
        <f>[1]Контакторы!$G$5</f>
        <v>466.84</v>
      </c>
      <c r="Q39" s="378"/>
      <c r="R39" s="378"/>
      <c r="S39" s="196">
        <f>[1]Контакторы!$G$4</f>
        <v>517.39</v>
      </c>
      <c r="T39" s="196">
        <f>[1]Контакторы!$G$17</f>
        <v>630.79</v>
      </c>
      <c r="U39" s="379">
        <f>[1]Контакторы!$G$18</f>
        <v>799.94</v>
      </c>
      <c r="V39" s="379"/>
    </row>
    <row r="40" spans="1:69" ht="15" customHeight="1" x14ac:dyDescent="0.25">
      <c r="A40" s="58">
        <v>39</v>
      </c>
      <c r="B40" s="49" t="s">
        <v>144</v>
      </c>
      <c r="C40" s="51">
        <v>39</v>
      </c>
      <c r="D40" s="59">
        <v>3900</v>
      </c>
      <c r="E40" s="3">
        <v>71</v>
      </c>
      <c r="F40" s="3"/>
      <c r="G40" s="293"/>
      <c r="H40" s="359"/>
      <c r="I40" s="384" t="str">
        <f>IF(V20=V5,B28,B30)</f>
        <v/>
      </c>
      <c r="J40" s="384"/>
      <c r="K40" s="385"/>
      <c r="P40" s="212" t="s">
        <v>392</v>
      </c>
      <c r="Q40" s="211"/>
      <c r="R40" s="211"/>
      <c r="S40" s="212" t="s">
        <v>393</v>
      </c>
      <c r="T40" s="212" t="s">
        <v>394</v>
      </c>
      <c r="U40" s="212" t="s">
        <v>395</v>
      </c>
      <c r="V40" s="213"/>
    </row>
    <row r="41" spans="1:69" ht="15" customHeight="1" thickBot="1" x14ac:dyDescent="0.3">
      <c r="A41" s="60">
        <v>40</v>
      </c>
      <c r="B41" s="61" t="s">
        <v>145</v>
      </c>
      <c r="C41" s="62">
        <v>40</v>
      </c>
      <c r="D41" s="63">
        <v>4000</v>
      </c>
      <c r="E41" s="3">
        <v>72</v>
      </c>
      <c r="F41" s="3"/>
      <c r="G41" s="293"/>
      <c r="H41" s="360"/>
      <c r="I41" s="294" t="str">
        <f>IF(V20=V5,B30,"")</f>
        <v/>
      </c>
      <c r="J41" s="294"/>
      <c r="K41" s="295"/>
    </row>
    <row r="42" spans="1:69" ht="63.75" thickBot="1" x14ac:dyDescent="0.3">
      <c r="A42" s="70" t="s">
        <v>236</v>
      </c>
      <c r="B42" s="70" t="s">
        <v>237</v>
      </c>
      <c r="C42" s="70"/>
      <c r="D42" s="70" t="s">
        <v>238</v>
      </c>
      <c r="E42" s="70" t="s">
        <v>396</v>
      </c>
      <c r="F42" s="70"/>
      <c r="G42" s="70"/>
      <c r="H42" s="70" t="s">
        <v>206</v>
      </c>
      <c r="I42" s="70" t="s">
        <v>207</v>
      </c>
      <c r="J42" s="70" t="s">
        <v>239</v>
      </c>
      <c r="K42" s="70" t="s">
        <v>240</v>
      </c>
      <c r="L42" s="71" t="s">
        <v>241</v>
      </c>
      <c r="M42" s="72" t="s">
        <v>242</v>
      </c>
      <c r="O42" t="s">
        <v>243</v>
      </c>
    </row>
    <row r="43" spans="1:69" ht="21" customHeight="1" thickBot="1" x14ac:dyDescent="0.3">
      <c r="A43" s="214" t="s">
        <v>244</v>
      </c>
      <c r="B43" s="142" t="str">
        <f>F20</f>
        <v>ЩУ-П НИКОМАКр-230-IP31-1[3/230/1-24D]</v>
      </c>
      <c r="C43" s="180"/>
      <c r="D43" s="180"/>
      <c r="E43" s="215">
        <v>1</v>
      </c>
      <c r="F43" s="180" t="s">
        <v>429</v>
      </c>
      <c r="G43" s="180"/>
      <c r="H43" s="216">
        <v>400</v>
      </c>
      <c r="I43" s="216">
        <v>2500</v>
      </c>
      <c r="J43" s="217">
        <f>SUM(K44:K73)</f>
        <v>6289.5668999999998</v>
      </c>
      <c r="K43" s="217">
        <f>SUM(K44:K73)*E43</f>
        <v>6289.5668999999998</v>
      </c>
      <c r="L43" s="218">
        <f>J43+(J43*I88)+(D175*I87)+(J43*I89)+(J43*I90)+(D179*I91)+(D180*I92)</f>
        <v>9631.1849980000006</v>
      </c>
      <c r="M43" s="126">
        <v>44484</v>
      </c>
      <c r="O43" s="140">
        <f>N20</f>
        <v>3</v>
      </c>
      <c r="P43" s="141" t="s">
        <v>246</v>
      </c>
      <c r="R43" s="316">
        <f>SUM(L45:L67)</f>
        <v>20.450000000000003</v>
      </c>
      <c r="S43" s="386" t="s">
        <v>247</v>
      </c>
      <c r="T43" s="382"/>
      <c r="U43" s="382"/>
      <c r="V43" s="382"/>
      <c r="W43" s="382"/>
      <c r="X43" s="382"/>
      <c r="Y43" s="382"/>
    </row>
    <row r="44" spans="1:69" ht="15.75" customHeight="1" thickBot="1" x14ac:dyDescent="0.3">
      <c r="A44" s="220"/>
      <c r="B44" s="221" t="s">
        <v>247</v>
      </c>
      <c r="C44" s="175"/>
      <c r="D44" s="222"/>
      <c r="E44" s="174">
        <v>1</v>
      </c>
      <c r="F44" s="223" t="str">
        <f>IF(L20=L4,O45,O46)</f>
        <v>ЩМП1 (395х310х220)</v>
      </c>
      <c r="G44" s="323">
        <f>IF(F44=S44,S45,IF(F44=T44,T45,IF(F44=U44,U45,IF(F44=V44,V45,IF(F44=W44,W45,IF(F44=X44,X45,IF(F44=Y44,Y45,Z45)))))))</f>
        <v>2056</v>
      </c>
      <c r="H44" s="224">
        <f>G44+H43</f>
        <v>2456</v>
      </c>
      <c r="I44" s="224">
        <f>G44+I43</f>
        <v>4556</v>
      </c>
      <c r="J44" s="325">
        <f>IF(J20=J4,G44,IF(J20=J5,H44,I44))</f>
        <v>2056</v>
      </c>
      <c r="K44" s="296">
        <f>E44*J44</f>
        <v>2056</v>
      </c>
      <c r="L44" s="297" t="s">
        <v>418</v>
      </c>
      <c r="M44" s="107" t="s">
        <v>307</v>
      </c>
      <c r="N44" s="127" t="str">
        <f>IF(R43&lt;O76,S44,IF(R43&lt;P76,T44,IF(R43&lt;Q76,U44,IF(R43&lt;S76,V44,IF(R43&lt;T76,W44,IF(R43&lt;W76,Y44,Z44))))))</f>
        <v>ЩМП1 (395х310х220)</v>
      </c>
      <c r="O44" s="76">
        <v>3000</v>
      </c>
      <c r="P44" t="s">
        <v>248</v>
      </c>
      <c r="S44" s="321" t="s">
        <v>419</v>
      </c>
      <c r="T44" s="321" t="s">
        <v>420</v>
      </c>
      <c r="U44" s="321" t="s">
        <v>421</v>
      </c>
      <c r="V44" s="321" t="s">
        <v>422</v>
      </c>
      <c r="W44" s="321" t="s">
        <v>423</v>
      </c>
      <c r="X44" s="321" t="s">
        <v>424</v>
      </c>
      <c r="Y44" s="321" t="s">
        <v>430</v>
      </c>
      <c r="Z44" s="321" t="s">
        <v>431</v>
      </c>
    </row>
    <row r="45" spans="1:69" ht="15" customHeight="1" x14ac:dyDescent="0.25">
      <c r="A45" s="73" t="s">
        <v>308</v>
      </c>
      <c r="B45" s="219" t="s">
        <v>310</v>
      </c>
      <c r="C45" s="128"/>
      <c r="D45" s="144" t="s">
        <v>249</v>
      </c>
      <c r="E45" s="138">
        <f>IF(T20=T6,F45,IF(T20=T7,F45,0))</f>
        <v>1</v>
      </c>
      <c r="F45" s="231">
        <f>IF(E51&lt;3,1,2)+H32</f>
        <v>1</v>
      </c>
      <c r="G45" s="74"/>
      <c r="H45" s="74"/>
      <c r="I45" s="74"/>
      <c r="J45" s="121">
        <f>'[2]БР-2'!$D$71</f>
        <v>485</v>
      </c>
      <c r="K45" s="120">
        <f t="shared" ref="K45:K72" si="0">E45*J45</f>
        <v>485</v>
      </c>
      <c r="L45" s="298">
        <f>3*E45</f>
        <v>3</v>
      </c>
      <c r="M45" s="107" t="s">
        <v>304</v>
      </c>
      <c r="N45" s="127" t="str">
        <f>IF(R43&lt;O76,S44,IF(R43&lt;P76,T44,IF(R43&lt;Q76,U44,IF(R43&lt;S76,V44,IF(R43&lt;T76,W44,IF(R43&lt;W76,Y44,Z44))))))</f>
        <v>ЩМП1 (395х310х220)</v>
      </c>
      <c r="O45" t="str">
        <f>IF(V20=V5,N45,N44)</f>
        <v>ЩМП1 (395х310х220)</v>
      </c>
      <c r="S45" s="320">
        <f>[1]Корпуса!$F$31</f>
        <v>2056</v>
      </c>
      <c r="T45" s="81">
        <f>[1]Корпуса!$F$30</f>
        <v>2634.4</v>
      </c>
      <c r="U45" s="81">
        <f>[1]Корпуса!$F$29</f>
        <v>3352</v>
      </c>
      <c r="V45" s="81">
        <f>[3]Корпуса!$F$27</f>
        <v>4999.6000000000004</v>
      </c>
      <c r="W45" s="320">
        <f>[3]Корпуса!$F$25</f>
        <v>6446.8</v>
      </c>
      <c r="X45" s="81">
        <f>[3]Корпуса!$F$23</f>
        <v>9035.2000000000007</v>
      </c>
      <c r="Y45" s="81">
        <f>[3]Корпуса!$F$160</f>
        <v>16753</v>
      </c>
      <c r="Z45" s="324">
        <v>30000</v>
      </c>
    </row>
    <row r="46" spans="1:69" ht="15" customHeight="1" x14ac:dyDescent="0.25">
      <c r="A46" s="73" t="s">
        <v>309</v>
      </c>
      <c r="B46" s="146" t="str">
        <f>IF(E51&lt;3,D46,C46)</f>
        <v>Блок релейный БР-1М-Пд-УН-IP20</v>
      </c>
      <c r="C46" s="230" t="s">
        <v>399</v>
      </c>
      <c r="D46" s="129" t="s">
        <v>311</v>
      </c>
      <c r="E46" s="138">
        <f>IF(E45=0,F46,0)</f>
        <v>0</v>
      </c>
      <c r="F46" s="231">
        <f>1+H32</f>
        <v>1</v>
      </c>
      <c r="H46" s="130">
        <f>'[2]БР-1М'!$D$62</f>
        <v>4248</v>
      </c>
      <c r="I46" s="130">
        <f>'[2]БР-1М'!$D$61</f>
        <v>3493</v>
      </c>
      <c r="J46" s="130">
        <f>IF(B46=C46,H46,I46)*H33</f>
        <v>3493</v>
      </c>
      <c r="K46" s="131">
        <f t="shared" si="0"/>
        <v>0</v>
      </c>
      <c r="L46" s="298">
        <f>4*E46</f>
        <v>0</v>
      </c>
      <c r="M46" s="107" t="s">
        <v>305</v>
      </c>
      <c r="N46" s="127" t="str">
        <f>IF(R43&lt;O76,S44,IF(R43&lt;P76,T44,IF(R43&lt;Q76,U44,IF(R43&lt;S76,V44,IF(R43&lt;T76,W44,IF(R43&lt;W76,X44,IF(R43&lt;AA76,Y44,Z44)))))))</f>
        <v>ЩМП1 (395х310х220)</v>
      </c>
      <c r="O46" t="str">
        <f>IF(V20=V5,N46,N47)</f>
        <v>ЩМП1 (395х310х220)</v>
      </c>
    </row>
    <row r="47" spans="1:69" ht="15" customHeight="1" x14ac:dyDescent="0.25">
      <c r="A47" s="136" t="s">
        <v>313</v>
      </c>
      <c r="B47" s="147" t="s">
        <v>397</v>
      </c>
      <c r="C47" s="128"/>
      <c r="D47" s="129" t="s">
        <v>314</v>
      </c>
      <c r="E47" s="137">
        <f>IF(L20=L4,0,F47)</f>
        <v>0</v>
      </c>
      <c r="F47" s="127">
        <f>IF(G20=G6,0,G47)</f>
        <v>0</v>
      </c>
      <c r="G47" s="226">
        <f>IF(G20=G5,H47,0)</f>
        <v>0</v>
      </c>
      <c r="H47" s="127">
        <f>IF(V20=V5,I47,I47)</f>
        <v>0</v>
      </c>
      <c r="I47" s="127">
        <f>IF(L20=L5,O43,0)</f>
        <v>0</v>
      </c>
      <c r="J47" s="130">
        <f>'[2]БР-4'!$D$55</f>
        <v>3632</v>
      </c>
      <c r="K47" s="134">
        <f t="shared" si="0"/>
        <v>0</v>
      </c>
      <c r="L47" s="298">
        <f>6*E47</f>
        <v>0</v>
      </c>
      <c r="M47" s="107" t="s">
        <v>306</v>
      </c>
      <c r="N47" s="127" t="str">
        <f>IF(R43&lt;24,S44,IF(R43&lt;48,T44,IF(R43&lt;84,U44,IF(R43&lt;120,V44,IF(R43&lt;164,X44,IF(R43&lt;180,Y44,Z44))))))</f>
        <v>ЩМП1 (395х310х220)</v>
      </c>
      <c r="O47" s="83"/>
      <c r="P47" s="83" t="s">
        <v>253</v>
      </c>
      <c r="Q47" s="84">
        <v>1</v>
      </c>
      <c r="R47" s="83"/>
      <c r="S47" s="83"/>
      <c r="T47" s="83"/>
      <c r="U47" s="83" t="s">
        <v>245</v>
      </c>
      <c r="V47" s="88">
        <v>146</v>
      </c>
      <c r="W47" s="85">
        <f>Q47*V47</f>
        <v>146</v>
      </c>
      <c r="X47" s="80" t="s">
        <v>254</v>
      </c>
    </row>
    <row r="48" spans="1:69" ht="15" customHeight="1" x14ac:dyDescent="0.25">
      <c r="A48" s="73" t="s">
        <v>316</v>
      </c>
      <c r="B48" s="147" t="s">
        <v>398</v>
      </c>
      <c r="C48" s="128">
        <f>IF(G20=G4,I48,0)</f>
        <v>0</v>
      </c>
      <c r="D48" s="129" t="s">
        <v>317</v>
      </c>
      <c r="E48" s="229">
        <f>IF(V20=V5,C48,F48)</f>
        <v>0</v>
      </c>
      <c r="F48" s="139">
        <f>IF(G20=G6,I48,C48)</f>
        <v>0</v>
      </c>
      <c r="G48" s="127">
        <f>IF(G20=G4,I48,F48)</f>
        <v>0</v>
      </c>
      <c r="H48" s="228">
        <f>IF(L20=L4,I48,G48)</f>
        <v>0</v>
      </c>
      <c r="I48" s="127">
        <f>IF(G20=G6,H49,I47)</f>
        <v>0</v>
      </c>
      <c r="J48" s="130">
        <f>'[2]БР-1'!$D$59</f>
        <v>3543</v>
      </c>
      <c r="K48" s="339">
        <f>E48*J48</f>
        <v>0</v>
      </c>
      <c r="L48" s="298">
        <f>3*E48</f>
        <v>0</v>
      </c>
      <c r="N48" s="87"/>
      <c r="O48" s="89"/>
      <c r="P48" s="89" t="s">
        <v>255</v>
      </c>
      <c r="Q48" s="84">
        <v>1</v>
      </c>
      <c r="R48" s="83"/>
      <c r="S48" s="83"/>
      <c r="T48" s="83"/>
      <c r="U48" s="83" t="s">
        <v>245</v>
      </c>
      <c r="V48" s="90">
        <v>78</v>
      </c>
      <c r="W48" s="85">
        <f>Q48*V48</f>
        <v>78</v>
      </c>
      <c r="X48" s="80" t="s">
        <v>254</v>
      </c>
    </row>
    <row r="49" spans="1:197" ht="15" customHeight="1" x14ac:dyDescent="0.25">
      <c r="A49" s="136" t="s">
        <v>313</v>
      </c>
      <c r="B49" s="147" t="s">
        <v>319</v>
      </c>
      <c r="C49" s="128"/>
      <c r="D49" s="129" t="s">
        <v>315</v>
      </c>
      <c r="E49" s="139">
        <f>IF(L20=L5,F49,0)</f>
        <v>0</v>
      </c>
      <c r="F49" s="137">
        <f>IF(V20=V5,G49,0)</f>
        <v>0</v>
      </c>
      <c r="G49" s="127">
        <f>IF(G20=G6,H49,0)</f>
        <v>0</v>
      </c>
      <c r="H49" s="127">
        <f>IF(I49&lt;1,0,IF(I49&lt;3,1,IF(I49&lt;5,2,IF(I49&lt;7,3,IF(I49&lt;9,4,IF(I49&lt;11,5,IF(I49&lt;13,6,IF(I49&lt;15,7,IF(I49&lt;17,8,IF(I49&lt;19,9,IF(I49&lt;21,10,IF(I49&lt;23,11,IF(I49&lt;25,12,IF(I49&lt;27,13,IF(I49&lt;29,14,IF(I49&lt;31,15,IF(I49&lt;33,16,IF(I49&lt;35,17,IF(I49&lt;37,18,IF(I49&lt;39,19,IF(I49&lt;41,20,IF(I49&lt;43,21,IF(I49&lt;45,22,IF(I49&lt;47,23,IF(I49&lt;49,24,IF(I49&lt;51,25,IF(I49&lt;53,26,IF(I49&lt;55,27,IF(I49&lt;57,28,IF(I49&lt;59,29,IF(I49&lt;61,30,"много")))))))))))))))))))))))))))))))</f>
        <v>0</v>
      </c>
      <c r="I49" s="127">
        <f>IF(L20=L5,O43,0)</f>
        <v>0</v>
      </c>
      <c r="J49" s="130">
        <f>'[2]БР-4'!$D$52</f>
        <v>3686</v>
      </c>
      <c r="K49" s="134">
        <f>E49*J49</f>
        <v>0</v>
      </c>
      <c r="L49" s="298">
        <f>6*E49</f>
        <v>0</v>
      </c>
      <c r="M49" s="86"/>
    </row>
    <row r="50" spans="1:197" ht="15" customHeight="1" x14ac:dyDescent="0.25">
      <c r="A50" s="136" t="s">
        <v>318</v>
      </c>
      <c r="B50" s="149" t="s">
        <v>321</v>
      </c>
      <c r="C50" s="128"/>
      <c r="D50" s="129"/>
      <c r="E50" s="226">
        <f>IF(E48=0,0,1)</f>
        <v>0</v>
      </c>
      <c r="F50" s="84"/>
      <c r="G50" s="83"/>
      <c r="H50" s="83"/>
      <c r="I50" s="83"/>
      <c r="J50" s="130">
        <f>'[1]УСТР-ВА'!$D$144</f>
        <v>615.30999999999995</v>
      </c>
      <c r="K50" s="134">
        <f>E50*J50</f>
        <v>0</v>
      </c>
      <c r="L50" s="298">
        <f>4*E50</f>
        <v>0</v>
      </c>
      <c r="M50" s="86"/>
      <c r="N50" s="87"/>
      <c r="O50" s="74"/>
      <c r="P50" s="77" t="s">
        <v>260</v>
      </c>
      <c r="Q50" s="84">
        <v>1</v>
      </c>
      <c r="R50" s="83"/>
      <c r="S50" s="83"/>
      <c r="T50" s="83"/>
      <c r="U50" s="83" t="s">
        <v>245</v>
      </c>
      <c r="V50" s="91">
        <v>330.62</v>
      </c>
      <c r="W50" s="85">
        <f>Q50*V50</f>
        <v>330.62</v>
      </c>
      <c r="X50" s="80" t="s">
        <v>258</v>
      </c>
    </row>
    <row r="51" spans="1:197" ht="15" customHeight="1" x14ac:dyDescent="0.25">
      <c r="A51" s="82" t="s">
        <v>320</v>
      </c>
      <c r="B51" s="148" t="str">
        <f>P40</f>
        <v>Контактор КМ-103 9А катушка управления 220В AC</v>
      </c>
      <c r="C51" s="128"/>
      <c r="D51" s="198" t="str">
        <f>IF(O43&lt;27,P38,IF(O43&lt;36,S38,IF(O43&lt;54,T38,U38)))</f>
        <v>22103DEK</v>
      </c>
      <c r="E51" s="137">
        <f>IF(SUM(E47:E49)&lt;1,F51,0)</f>
        <v>1</v>
      </c>
      <c r="F51" s="127">
        <f>IF(O43&lt;19,1,IF(O43&lt;39,2,IF(O43&lt;56,3,4)))+(X20-1)</f>
        <v>1</v>
      </c>
      <c r="G51" s="83"/>
      <c r="H51" s="227"/>
      <c r="I51" s="83"/>
      <c r="J51" s="130">
        <f>IF(D51=P38,P39,IF(D51=S38,S39,IF(D51=T38,T39,U39)))</f>
        <v>466.84</v>
      </c>
      <c r="K51" s="134">
        <f>E51*J51</f>
        <v>466.84</v>
      </c>
      <c r="L51" s="298">
        <f>4*E51</f>
        <v>4</v>
      </c>
      <c r="M51" s="86"/>
      <c r="R51" s="203">
        <v>6</v>
      </c>
      <c r="S51" s="203">
        <v>10</v>
      </c>
      <c r="T51" s="203">
        <v>16</v>
      </c>
      <c r="U51" s="203">
        <v>20</v>
      </c>
      <c r="V51" s="203">
        <v>25</v>
      </c>
      <c r="W51" s="203">
        <v>32</v>
      </c>
      <c r="X51" s="203">
        <v>40</v>
      </c>
      <c r="Y51" s="203">
        <v>50</v>
      </c>
      <c r="Z51" s="203">
        <v>63</v>
      </c>
    </row>
    <row r="52" spans="1:197" ht="15" customHeight="1" thickBot="1" x14ac:dyDescent="0.3">
      <c r="A52" s="82" t="s">
        <v>250</v>
      </c>
      <c r="B52" s="209" t="str">
        <f>IF(D52=R52,R63,IF(D52=S52,R62,IF(D52=T52,R61,IF(D52=U52,R60,IF(D52=V52,R59,IF(D52=W52,R58,IF(D52=X52,R57,IF(D52=Y52,R56,IF(D52=Z52,R55)))))))))</f>
        <v>Выключатель автоматический однополюсный 6А С ВА-101 4.5кА (11052DEK)</v>
      </c>
      <c r="C52" s="128"/>
      <c r="D52" s="204" t="str">
        <f>IF(O43&lt;7,R52,IF(O43&lt;11,S52,IF(O43&lt;17,T52,IF(O43&lt;21,U52,IF(O43&lt;26,V52,IF(O43&lt;33,W52,IF(O43&lt;41,X52,IF(O43&lt;51,Y52,Z52))))))))</f>
        <v>11052DEK</v>
      </c>
      <c r="E52" s="83">
        <v>1</v>
      </c>
      <c r="F52" s="83"/>
      <c r="G52" s="83"/>
      <c r="H52" s="83"/>
      <c r="I52" s="83"/>
      <c r="J52" s="205">
        <f>IF(D52=R52,R53,IF(D52=S52,S53,IF(D52=T52,T53,IF(D52=U52,U53,IF(D52=V52,V53,IF(D52=W52,W53,IF(D52=X52,X53,IF(D52=Y52,Y53,Z53))))))))</f>
        <v>134.94</v>
      </c>
      <c r="K52" s="122">
        <f t="shared" si="0"/>
        <v>134.94</v>
      </c>
      <c r="L52" s="298">
        <f>1*E52</f>
        <v>1</v>
      </c>
      <c r="M52" s="199"/>
      <c r="N52" s="1"/>
      <c r="O52" s="1"/>
      <c r="P52" s="200"/>
      <c r="Q52" s="201" t="s">
        <v>353</v>
      </c>
      <c r="R52" s="2" t="s">
        <v>251</v>
      </c>
      <c r="S52" s="13" t="s">
        <v>355</v>
      </c>
      <c r="T52" s="13" t="s">
        <v>356</v>
      </c>
      <c r="U52" s="13" t="s">
        <v>357</v>
      </c>
      <c r="V52" s="13" t="s">
        <v>358</v>
      </c>
      <c r="W52" s="13" t="s">
        <v>359</v>
      </c>
      <c r="X52" s="13" t="s">
        <v>360</v>
      </c>
      <c r="Y52" s="13" t="s">
        <v>361</v>
      </c>
      <c r="Z52" s="13" t="s">
        <v>354</v>
      </c>
      <c r="AC52" s="1"/>
      <c r="AD52" s="1"/>
      <c r="AE52" s="1"/>
      <c r="AF52" s="200"/>
      <c r="AG52" s="202" t="s">
        <v>352</v>
      </c>
      <c r="AH52" s="195" t="s">
        <v>340</v>
      </c>
      <c r="AI52" s="195" t="s">
        <v>341</v>
      </c>
      <c r="AJ52" s="195" t="s">
        <v>342</v>
      </c>
      <c r="AK52" s="195" t="s">
        <v>343</v>
      </c>
      <c r="AL52" s="195" t="s">
        <v>344</v>
      </c>
      <c r="AM52" s="195" t="s">
        <v>345</v>
      </c>
      <c r="AN52" s="195" t="s">
        <v>346</v>
      </c>
      <c r="AO52" s="195" t="s">
        <v>347</v>
      </c>
      <c r="AP52" s="195" t="s">
        <v>348</v>
      </c>
      <c r="AQ52" s="195" t="s">
        <v>349</v>
      </c>
      <c r="AR52" s="195" t="s">
        <v>350</v>
      </c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</row>
    <row r="53" spans="1:197" ht="15.75" customHeight="1" thickBot="1" x14ac:dyDescent="0.3">
      <c r="A53" s="150" t="s">
        <v>312</v>
      </c>
      <c r="B53" s="178" t="str">
        <f>[1]Автоматы!$A$468</f>
        <v>Выключатель автоматический однополюсный 1А С ВА-101 4.5кА (11049DEK)</v>
      </c>
      <c r="C53" s="179"/>
      <c r="D53" s="193" t="str">
        <f>[1]Автоматы!$I$345</f>
        <v>11149DEK</v>
      </c>
      <c r="E53" s="166">
        <v>1</v>
      </c>
      <c r="F53" s="167"/>
      <c r="G53" s="167"/>
      <c r="H53" s="167"/>
      <c r="I53" s="167"/>
      <c r="J53" s="194">
        <f>[1]Автоматы!$H$345</f>
        <v>160.07</v>
      </c>
      <c r="K53" s="168">
        <f t="shared" si="0"/>
        <v>160.07</v>
      </c>
      <c r="L53" s="299">
        <f>1*E53</f>
        <v>1</v>
      </c>
      <c r="M53" s="86"/>
      <c r="N53" s="232">
        <f>IF((V21+Z21)&gt;0,1,0)</f>
        <v>0</v>
      </c>
      <c r="P53" s="362" t="s">
        <v>351</v>
      </c>
      <c r="Q53" s="363"/>
      <c r="R53" s="196">
        <f>[1]Автоматы!$H$23</f>
        <v>134.94</v>
      </c>
      <c r="S53" s="197">
        <f>[1]Автоматы!$H$22</f>
        <v>127.28</v>
      </c>
      <c r="T53" s="197">
        <f>[1]Автоматы!$H$21</f>
        <v>114.72</v>
      </c>
      <c r="U53" s="197">
        <f>[1]Автоматы!$H$20</f>
        <v>137.66</v>
      </c>
      <c r="V53" s="197">
        <f>[1]Автоматы!$H$19</f>
        <v>118.55</v>
      </c>
      <c r="W53" s="197">
        <f>[1]Автоматы!$H$17</f>
        <v>134.94</v>
      </c>
      <c r="X53" s="197">
        <f>[1]Автоматы!$H$16</f>
        <v>139.31</v>
      </c>
      <c r="Y53" s="197">
        <f>[1]Автоматы!$H$15</f>
        <v>160.61000000000001</v>
      </c>
      <c r="Z53" s="197">
        <f>[1]Автоматы!$H$14</f>
        <v>160.61000000000001</v>
      </c>
      <c r="AF53" s="362" t="s">
        <v>351</v>
      </c>
      <c r="AG53" s="363"/>
      <c r="AH53" s="196">
        <f>[1]Автоматы!$H$340</f>
        <v>427.74</v>
      </c>
      <c r="AI53" s="197">
        <f>[1]Автоматы!$H$339</f>
        <v>423.37</v>
      </c>
      <c r="AJ53" s="197">
        <f>[1]Автоматы!$H$338</f>
        <v>408.61</v>
      </c>
      <c r="AK53" s="197">
        <f>[1]Автоматы!$H$337</f>
        <v>426.1</v>
      </c>
      <c r="AL53" s="197">
        <f>[1]Автоматы!$H$336</f>
        <v>368.75</v>
      </c>
      <c r="AM53" s="197">
        <f>[1]Автоматы!$H$335</f>
        <v>398.24</v>
      </c>
      <c r="AN53" s="197">
        <f>[1]Автоматы!$H$334</f>
        <v>414.07</v>
      </c>
      <c r="AO53" s="197">
        <f>[1]Автоматы!$H$333</f>
        <v>495.48</v>
      </c>
      <c r="AP53" s="197">
        <f>[1]Автоматы!$H$332</f>
        <v>481.27</v>
      </c>
      <c r="AQ53" s="197">
        <f>[1]Автоматы!$H$350</f>
        <v>1813.63</v>
      </c>
      <c r="AR53" s="197">
        <f>[1]Автоматы!$H$351</f>
        <v>1808.17</v>
      </c>
    </row>
    <row r="54" spans="1:197" ht="15" customHeight="1" x14ac:dyDescent="0.25">
      <c r="A54" s="364" t="s">
        <v>252</v>
      </c>
      <c r="B54" s="171" t="str">
        <f>[1]Реле!$A$103</f>
        <v>Реле промышленное миниатюрное; монтаж в колодку; Контакты: 4CO (AgNi), напряжение 230В AC, номинальный ток 6А, опции: кнопка тест + мех.индикатор. R4N-2014-23-5230-WT</v>
      </c>
      <c r="C54" s="185"/>
      <c r="D54" s="153" t="s">
        <v>322</v>
      </c>
      <c r="E54" s="152">
        <f>1+X15</f>
        <v>1</v>
      </c>
      <c r="F54" s="152"/>
      <c r="G54" s="152"/>
      <c r="H54" s="152"/>
      <c r="I54" s="152"/>
      <c r="J54" s="154">
        <f>[1]Реле!$G$103</f>
        <v>224</v>
      </c>
      <c r="K54" s="155">
        <f t="shared" si="0"/>
        <v>224</v>
      </c>
      <c r="L54" s="304">
        <f>2*E54</f>
        <v>2</v>
      </c>
      <c r="M54" s="86"/>
    </row>
    <row r="55" spans="1:197" ht="15" customHeight="1" x14ac:dyDescent="0.25">
      <c r="A55" s="365"/>
      <c r="B55" s="148" t="str">
        <f>[1]Реле!$A$104</f>
        <v>Колодка с винтовыми зажимами (75*27*61мм) для реле серии R4N, T-R4;
цвет серый. GZM4-gray</v>
      </c>
      <c r="C55" s="128"/>
      <c r="D55" s="157" t="s">
        <v>323</v>
      </c>
      <c r="E55" s="156">
        <f>E54</f>
        <v>1</v>
      </c>
      <c r="F55" s="156"/>
      <c r="G55" s="156"/>
      <c r="H55" s="156"/>
      <c r="I55" s="156"/>
      <c r="J55" s="158">
        <f>[1]Реле!$G$104</f>
        <v>159</v>
      </c>
      <c r="K55" s="159">
        <f t="shared" si="0"/>
        <v>159</v>
      </c>
      <c r="L55" s="298">
        <f>0*E55</f>
        <v>0</v>
      </c>
      <c r="M55" s="86"/>
      <c r="R55" s="207" t="s">
        <v>374</v>
      </c>
    </row>
    <row r="56" spans="1:197" ht="15" customHeight="1" thickBot="1" x14ac:dyDescent="0.3">
      <c r="A56" s="366"/>
      <c r="B56" s="172" t="str">
        <f>[1]Реле!$A$105</f>
        <v>Фиксатор металлический для реле R2N, R3N, R4N для колодок GZM2,
GZT2, GZM3, GZT3, GZM4, GZT4, GZMB4, GZ4, GZP4. G4 1052</v>
      </c>
      <c r="C56" s="187"/>
      <c r="D56" s="160" t="s">
        <v>324</v>
      </c>
      <c r="E56" s="94">
        <f>E54</f>
        <v>1</v>
      </c>
      <c r="F56" s="94"/>
      <c r="G56" s="94"/>
      <c r="H56" s="94"/>
      <c r="I56" s="94"/>
      <c r="J56" s="161">
        <f>[1]Реле!$G$105</f>
        <v>11</v>
      </c>
      <c r="K56" s="95">
        <f t="shared" si="0"/>
        <v>11</v>
      </c>
      <c r="L56" s="305">
        <f>0*E56</f>
        <v>0</v>
      </c>
      <c r="M56" s="86"/>
      <c r="R56" s="207" t="s">
        <v>375</v>
      </c>
    </row>
    <row r="57" spans="1:197" ht="15" customHeight="1" x14ac:dyDescent="0.25">
      <c r="A57" s="365" t="s">
        <v>362</v>
      </c>
      <c r="B57" s="300" t="str">
        <f>[1]Реле!$A$99</f>
        <v>Реле миниатюрное электромеханическое низкопрофильное, Контакты: 2CO (AgNi), напряжение 230В AC, номинальный ток 8А, прозрачный корпус, IP40, RTII. RM84-2012-25-5230-RUS</v>
      </c>
      <c r="C57" s="128"/>
      <c r="D57" s="301" t="s">
        <v>325</v>
      </c>
      <c r="E57" s="77">
        <f>IF(N53=1,(2+O57),2)</f>
        <v>2</v>
      </c>
      <c r="F57" s="77"/>
      <c r="G57" s="77"/>
      <c r="H57" s="77"/>
      <c r="I57" s="77"/>
      <c r="J57" s="302">
        <f>[1]Реле!$G$99</f>
        <v>170</v>
      </c>
      <c r="K57" s="303">
        <f t="shared" si="0"/>
        <v>340</v>
      </c>
      <c r="L57" s="298">
        <f>1*E57</f>
        <v>2</v>
      </c>
      <c r="M57" s="86"/>
      <c r="O57">
        <f>IF(E49=0,O43,0)</f>
        <v>3</v>
      </c>
      <c r="P57" t="s">
        <v>246</v>
      </c>
      <c r="R57" s="207" t="s">
        <v>376</v>
      </c>
    </row>
    <row r="58" spans="1:197" ht="15.75" customHeight="1" x14ac:dyDescent="0.25">
      <c r="A58" s="365"/>
      <c r="B58" s="148" t="str">
        <f>[1]Реле!$A$100</f>
        <v>Колодка с винтовыми зажимами для реле серии RM84, RM85,RM87L/P; цвет серый ( в комплекте шильдик маркировочный GZT80-0035). GZM80-gray</v>
      </c>
      <c r="C58" s="128"/>
      <c r="D58" s="157" t="s">
        <v>326</v>
      </c>
      <c r="E58" s="156">
        <f>E57</f>
        <v>2</v>
      </c>
      <c r="F58" s="156"/>
      <c r="G58" s="156"/>
      <c r="H58" s="156"/>
      <c r="I58" s="156"/>
      <c r="J58" s="158">
        <f>[1]Реле!$G$100</f>
        <v>113</v>
      </c>
      <c r="K58" s="159">
        <f t="shared" si="0"/>
        <v>226</v>
      </c>
      <c r="L58" s="298">
        <f>0*E58</f>
        <v>0</v>
      </c>
      <c r="M58" s="86"/>
      <c r="R58" s="207" t="s">
        <v>377</v>
      </c>
    </row>
    <row r="59" spans="1:197" ht="15.75" thickBot="1" x14ac:dyDescent="0.3">
      <c r="A59" s="365"/>
      <c r="B59" s="306" t="str">
        <f>[1]Реле!$A$101</f>
        <v>Фиксатор металлический для реле RM84, RM85, RM87, для колодок GZT80, GZM80, GZF80, GZT92, GZM92. GZM80-0041</v>
      </c>
      <c r="C59" s="179"/>
      <c r="D59" s="307" t="s">
        <v>327</v>
      </c>
      <c r="E59" s="308">
        <f>E57</f>
        <v>2</v>
      </c>
      <c r="F59" s="308"/>
      <c r="G59" s="308"/>
      <c r="H59" s="308"/>
      <c r="I59" s="308"/>
      <c r="J59" s="309">
        <f>[1]Реле!$G$101</f>
        <v>11</v>
      </c>
      <c r="K59" s="310">
        <f t="shared" si="0"/>
        <v>22</v>
      </c>
      <c r="L59" s="299">
        <f>0*E59</f>
        <v>0</v>
      </c>
      <c r="M59" s="86"/>
      <c r="R59" s="207" t="s">
        <v>378</v>
      </c>
    </row>
    <row r="60" spans="1:197" x14ac:dyDescent="0.25">
      <c r="A60" s="367" t="s">
        <v>256</v>
      </c>
      <c r="B60" s="184" t="s">
        <v>257</v>
      </c>
      <c r="C60" s="185"/>
      <c r="D60" s="152">
        <v>304130</v>
      </c>
      <c r="E60" s="162">
        <v>1</v>
      </c>
      <c r="F60" s="163"/>
      <c r="G60" s="163"/>
      <c r="H60" s="163"/>
      <c r="I60" s="163"/>
      <c r="J60" s="189">
        <f>[1]Клеммы!$E$111</f>
        <v>31.54975</v>
      </c>
      <c r="K60" s="190">
        <f t="shared" si="0"/>
        <v>31.54975</v>
      </c>
      <c r="L60" s="304">
        <f>0.5*E60</f>
        <v>0.5</v>
      </c>
      <c r="M60" s="100"/>
      <c r="R60" s="207" t="s">
        <v>379</v>
      </c>
    </row>
    <row r="61" spans="1:197" x14ac:dyDescent="0.25">
      <c r="A61" s="361"/>
      <c r="B61" s="133" t="s">
        <v>259</v>
      </c>
      <c r="C61" s="128"/>
      <c r="D61" s="77">
        <v>304131</v>
      </c>
      <c r="E61" s="84">
        <v>1</v>
      </c>
      <c r="F61" s="83"/>
      <c r="G61" s="83"/>
      <c r="H61" s="83"/>
      <c r="I61" s="83"/>
      <c r="J61" s="79">
        <f>[1]Клеммы!$E$113</f>
        <v>31.54975</v>
      </c>
      <c r="K61" s="85">
        <f t="shared" si="0"/>
        <v>31.54975</v>
      </c>
      <c r="L61" s="298">
        <f>0.5*E61</f>
        <v>0.5</v>
      </c>
      <c r="M61" s="105" t="s">
        <v>276</v>
      </c>
      <c r="R61" s="208" t="s">
        <v>380</v>
      </c>
    </row>
    <row r="62" spans="1:197" ht="15.75" thickBot="1" x14ac:dyDescent="0.3">
      <c r="A62" s="368"/>
      <c r="B62" s="186" t="s">
        <v>261</v>
      </c>
      <c r="C62" s="187"/>
      <c r="D62" s="188">
        <v>334120</v>
      </c>
      <c r="E62" s="164">
        <v>1</v>
      </c>
      <c r="F62" s="165"/>
      <c r="G62" s="165"/>
      <c r="H62" s="165"/>
      <c r="I62" s="165"/>
      <c r="J62" s="191">
        <f>[1]Клеммы!$E$115</f>
        <v>111.63760000000001</v>
      </c>
      <c r="K62" s="192">
        <f t="shared" si="0"/>
        <v>111.63760000000001</v>
      </c>
      <c r="L62" s="305">
        <f>0.5*E62</f>
        <v>0.5</v>
      </c>
      <c r="M62">
        <f>E43</f>
        <v>1</v>
      </c>
      <c r="R62" s="207" t="s">
        <v>381</v>
      </c>
    </row>
    <row r="63" spans="1:197" x14ac:dyDescent="0.25">
      <c r="A63" s="361" t="s">
        <v>328</v>
      </c>
      <c r="B63" s="177" t="s">
        <v>263</v>
      </c>
      <c r="C63" s="128"/>
      <c r="D63" s="77">
        <v>304120</v>
      </c>
      <c r="E63" s="138">
        <f>IF(G20=G5,G63,F63)</f>
        <v>6</v>
      </c>
      <c r="F63" s="231">
        <f>O43</f>
        <v>3</v>
      </c>
      <c r="G63" s="231">
        <f>O43*2</f>
        <v>6</v>
      </c>
      <c r="H63" s="74"/>
      <c r="I63" s="89"/>
      <c r="J63" s="123">
        <f>[1]Клеммы!$E$116</f>
        <v>27.909400000000002</v>
      </c>
      <c r="K63" s="120">
        <f t="shared" ref="K63:K70" si="1">E63*J63</f>
        <v>167.4564</v>
      </c>
      <c r="L63" s="298">
        <f>0.35*E63</f>
        <v>2.0999999999999996</v>
      </c>
      <c r="R63" s="207" t="s">
        <v>382</v>
      </c>
    </row>
    <row r="64" spans="1:197" ht="15.75" thickBot="1" x14ac:dyDescent="0.3">
      <c r="A64" s="361"/>
      <c r="B64" s="178" t="s">
        <v>264</v>
      </c>
      <c r="C64" s="179"/>
      <c r="D64" s="311">
        <v>304121</v>
      </c>
      <c r="E64" s="312">
        <f>O43</f>
        <v>3</v>
      </c>
      <c r="F64" s="167"/>
      <c r="G64" s="167"/>
      <c r="H64" s="167"/>
      <c r="I64" s="167"/>
      <c r="J64" s="181">
        <f>[1]Клеммы!$E$118</f>
        <v>27.909400000000002</v>
      </c>
      <c r="K64" s="313">
        <f t="shared" si="1"/>
        <v>83.728200000000001</v>
      </c>
      <c r="L64" s="299">
        <f>0.35*E64</f>
        <v>1.0499999999999998</v>
      </c>
    </row>
    <row r="65" spans="1:24" ht="15.75" thickBot="1" x14ac:dyDescent="0.3">
      <c r="A65" s="169" t="s">
        <v>262</v>
      </c>
      <c r="B65" s="173" t="s">
        <v>263</v>
      </c>
      <c r="C65" s="182"/>
      <c r="D65" s="143">
        <v>304120</v>
      </c>
      <c r="E65" s="314">
        <f>IF(N53=1,O43*3,0)</f>
        <v>0</v>
      </c>
      <c r="F65" s="143"/>
      <c r="G65" s="143"/>
      <c r="H65" s="143"/>
      <c r="I65" s="143"/>
      <c r="J65" s="183">
        <f>[1]Клеммы!$E$116</f>
        <v>27.909400000000002</v>
      </c>
      <c r="K65" s="170">
        <f t="shared" si="1"/>
        <v>0</v>
      </c>
      <c r="L65" s="315">
        <f>0.35*E65</f>
        <v>0</v>
      </c>
    </row>
    <row r="66" spans="1:24" ht="15.75" thickBot="1" x14ac:dyDescent="0.3">
      <c r="A66" s="169" t="s">
        <v>329</v>
      </c>
      <c r="B66" s="173" t="s">
        <v>263</v>
      </c>
      <c r="C66" s="182"/>
      <c r="D66" s="143">
        <v>304120</v>
      </c>
      <c r="E66" s="314">
        <f>IF(T20=T4,4,IF(T20=T5,4,IF(T20=T6,2,2)))+X13</f>
        <v>2</v>
      </c>
      <c r="F66" s="143"/>
      <c r="G66" s="143"/>
      <c r="H66" s="143"/>
      <c r="I66" s="143"/>
      <c r="J66" s="183">
        <f>[1]Клеммы!$E$116</f>
        <v>27.909400000000002</v>
      </c>
      <c r="K66" s="170">
        <f t="shared" si="1"/>
        <v>55.818800000000003</v>
      </c>
      <c r="L66" s="315">
        <f>0.35*E66</f>
        <v>0.7</v>
      </c>
    </row>
    <row r="67" spans="1:24" ht="15.75" thickBot="1" x14ac:dyDescent="0.3">
      <c r="A67" s="169" t="s">
        <v>265</v>
      </c>
      <c r="B67" s="173" t="s">
        <v>263</v>
      </c>
      <c r="C67" s="182"/>
      <c r="D67" s="143">
        <v>304120</v>
      </c>
      <c r="E67" s="206">
        <f>IF(N53=1,(6+(O43*2)),6)</f>
        <v>6</v>
      </c>
      <c r="F67" s="175"/>
      <c r="G67" s="175"/>
      <c r="H67" s="175"/>
      <c r="I67" s="143"/>
      <c r="J67" s="183">
        <f>[1]Клеммы!$E$116</f>
        <v>27.909400000000002</v>
      </c>
      <c r="K67" s="170">
        <f t="shared" si="1"/>
        <v>167.4564</v>
      </c>
      <c r="L67" s="315">
        <f>0.35*E67</f>
        <v>2.0999999999999996</v>
      </c>
    </row>
    <row r="68" spans="1:24" x14ac:dyDescent="0.25">
      <c r="A68" s="151" t="s">
        <v>330</v>
      </c>
      <c r="B68" s="177" t="s">
        <v>331</v>
      </c>
      <c r="C68" s="128"/>
      <c r="D68" s="89" t="s">
        <v>332</v>
      </c>
      <c r="E68" s="78">
        <f>IF(V20=V5,F68,G68)</f>
        <v>1</v>
      </c>
      <c r="F68" s="138">
        <f>G68+O68</f>
        <v>4</v>
      </c>
      <c r="G68" s="74">
        <v>1</v>
      </c>
      <c r="H68" s="74"/>
      <c r="I68" s="89"/>
      <c r="J68" s="79">
        <f>[1]Лампы!$G$5</f>
        <v>93.7</v>
      </c>
      <c r="K68" s="75">
        <f t="shared" si="1"/>
        <v>93.7</v>
      </c>
      <c r="L68" s="176"/>
      <c r="O68">
        <f>O43</f>
        <v>3</v>
      </c>
      <c r="P68" t="s">
        <v>246</v>
      </c>
    </row>
    <row r="69" spans="1:24" x14ac:dyDescent="0.25">
      <c r="A69" s="82" t="s">
        <v>333</v>
      </c>
      <c r="B69" s="133" t="s">
        <v>334</v>
      </c>
      <c r="C69" s="128"/>
      <c r="D69" s="83" t="s">
        <v>335</v>
      </c>
      <c r="E69" s="78">
        <f>IF(V20=V5,F69,G69)+X15</f>
        <v>1</v>
      </c>
      <c r="F69" s="138">
        <f>G69+O69</f>
        <v>4</v>
      </c>
      <c r="G69" s="74">
        <v>1</v>
      </c>
      <c r="H69" s="74"/>
      <c r="I69" s="83"/>
      <c r="J69" s="79">
        <f>[1]Лампы!$G$3</f>
        <v>93.7</v>
      </c>
      <c r="K69" s="134">
        <f t="shared" si="1"/>
        <v>93.7</v>
      </c>
      <c r="L69" s="135"/>
      <c r="O69">
        <f>O43</f>
        <v>3</v>
      </c>
      <c r="P69" t="s">
        <v>246</v>
      </c>
    </row>
    <row r="70" spans="1:24" x14ac:dyDescent="0.25">
      <c r="A70" s="82" t="s">
        <v>336</v>
      </c>
      <c r="B70" s="133" t="s">
        <v>266</v>
      </c>
      <c r="C70" s="128"/>
      <c r="D70" s="89" t="s">
        <v>267</v>
      </c>
      <c r="E70" s="78">
        <f>IF(V20=V5,F70,G70)+X15</f>
        <v>2</v>
      </c>
      <c r="F70" s="138">
        <f>G70+O70</f>
        <v>5</v>
      </c>
      <c r="G70" s="74">
        <v>2</v>
      </c>
      <c r="H70" s="74"/>
      <c r="I70" s="83"/>
      <c r="J70" s="79">
        <f>[1]Лампы!$G$6</f>
        <v>91.15</v>
      </c>
      <c r="K70" s="134">
        <f t="shared" si="1"/>
        <v>182.3</v>
      </c>
      <c r="L70" s="135"/>
      <c r="O70">
        <f>O43</f>
        <v>3</v>
      </c>
      <c r="P70" t="s">
        <v>246</v>
      </c>
    </row>
    <row r="71" spans="1:24" x14ac:dyDescent="0.25">
      <c r="A71" s="82" t="s">
        <v>268</v>
      </c>
      <c r="B71" s="133" t="s">
        <v>269</v>
      </c>
      <c r="C71" s="128"/>
      <c r="D71" s="77" t="s">
        <v>270</v>
      </c>
      <c r="E71" s="78">
        <f>1+X15</f>
        <v>1</v>
      </c>
      <c r="F71" s="74"/>
      <c r="G71" s="74"/>
      <c r="H71" s="74"/>
      <c r="I71" s="83"/>
      <c r="J71" s="121">
        <f>'[1]Кнопки, переключатели'!$F$6</f>
        <v>228.78</v>
      </c>
      <c r="K71" s="120">
        <f t="shared" si="0"/>
        <v>228.78</v>
      </c>
      <c r="L71" s="80"/>
    </row>
    <row r="72" spans="1:24" x14ac:dyDescent="0.25">
      <c r="A72" s="82" t="s">
        <v>271</v>
      </c>
      <c r="B72" s="133" t="s">
        <v>272</v>
      </c>
      <c r="C72" s="128"/>
      <c r="D72" s="77" t="s">
        <v>273</v>
      </c>
      <c r="E72" s="78">
        <v>1</v>
      </c>
      <c r="F72" s="74"/>
      <c r="G72" s="74"/>
      <c r="H72" s="74"/>
      <c r="I72" s="83"/>
      <c r="J72" s="121">
        <f>'[1]Кнопки, переключатели'!$F$22</f>
        <v>257.04000000000002</v>
      </c>
      <c r="K72" s="120">
        <f t="shared" si="0"/>
        <v>257.04000000000002</v>
      </c>
      <c r="L72" s="80"/>
    </row>
    <row r="73" spans="1:24" ht="15.75" thickBot="1" x14ac:dyDescent="0.3">
      <c r="A73" s="92" t="s">
        <v>129</v>
      </c>
      <c r="B73" s="93" t="s">
        <v>274</v>
      </c>
      <c r="C73" s="128"/>
      <c r="D73" s="94"/>
      <c r="E73" s="94">
        <v>1</v>
      </c>
      <c r="F73" s="94"/>
      <c r="G73" s="94"/>
      <c r="H73" s="94"/>
      <c r="I73" s="94"/>
      <c r="J73" s="124">
        <v>500</v>
      </c>
      <c r="K73" s="125">
        <f>E73*J73</f>
        <v>500</v>
      </c>
      <c r="L73" s="96"/>
    </row>
    <row r="74" spans="1:24" x14ac:dyDescent="0.25">
      <c r="A74" s="97"/>
      <c r="B74" s="98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1:24" ht="30" x14ac:dyDescent="0.25">
      <c r="A75" s="97"/>
      <c r="B75" s="101" t="s">
        <v>222</v>
      </c>
      <c r="C75" s="101"/>
      <c r="D75" s="101" t="s">
        <v>223</v>
      </c>
      <c r="E75" s="102"/>
      <c r="F75" s="103"/>
      <c r="G75" s="103"/>
      <c r="H75" s="103"/>
      <c r="I75" s="103"/>
      <c r="J75" s="102"/>
      <c r="K75" s="104" t="s">
        <v>275</v>
      </c>
      <c r="L75" s="119">
        <f>K43</f>
        <v>6289.5668999999998</v>
      </c>
      <c r="N75" s="357" t="s">
        <v>418</v>
      </c>
      <c r="O75" s="357"/>
      <c r="P75" s="357"/>
      <c r="Q75" s="357"/>
      <c r="R75" s="357"/>
      <c r="S75" s="357"/>
      <c r="T75" s="357"/>
      <c r="U75" s="357"/>
      <c r="V75" s="357"/>
      <c r="W75" s="357"/>
      <c r="X75" s="357"/>
    </row>
    <row r="76" spans="1:24" x14ac:dyDescent="0.25">
      <c r="E76" s="102"/>
      <c r="F76" s="103"/>
      <c r="G76" s="103"/>
      <c r="H76" s="103"/>
      <c r="I76" s="103"/>
      <c r="J76" s="102"/>
      <c r="K76" s="104" t="s">
        <v>277</v>
      </c>
      <c r="L76" s="119">
        <f>(D175*(M62))*I87</f>
        <v>700.00000000000011</v>
      </c>
      <c r="N76" s="328">
        <v>12</v>
      </c>
      <c r="O76" s="328">
        <v>24</v>
      </c>
      <c r="P76" s="328">
        <v>32</v>
      </c>
      <c r="Q76" s="328">
        <v>63</v>
      </c>
      <c r="R76" s="328">
        <v>90</v>
      </c>
      <c r="S76" s="328">
        <v>120</v>
      </c>
      <c r="T76" s="328">
        <v>150</v>
      </c>
      <c r="U76" s="328">
        <v>180</v>
      </c>
      <c r="V76" s="328">
        <v>200</v>
      </c>
      <c r="W76" s="338">
        <v>240</v>
      </c>
      <c r="X76" s="338">
        <v>320</v>
      </c>
    </row>
    <row r="77" spans="1:24" x14ac:dyDescent="0.25">
      <c r="E77" s="102"/>
      <c r="F77" s="103"/>
      <c r="G77" s="103"/>
      <c r="H77" s="103"/>
      <c r="I77" s="103"/>
      <c r="J77" s="102"/>
      <c r="K77" s="104" t="s">
        <v>278</v>
      </c>
      <c r="L77" s="119">
        <f>(K43)*I88</f>
        <v>503.16535199999998</v>
      </c>
      <c r="N77" s="356" t="s">
        <v>432</v>
      </c>
      <c r="O77" s="356"/>
      <c r="P77" s="356"/>
      <c r="Q77" s="356"/>
      <c r="R77" s="356"/>
      <c r="S77" s="356"/>
      <c r="T77" s="356"/>
      <c r="U77" s="356"/>
      <c r="V77" s="356"/>
      <c r="W77" s="356"/>
      <c r="X77" s="356"/>
    </row>
    <row r="78" spans="1:24" ht="15.75" x14ac:dyDescent="0.25">
      <c r="E78" s="102"/>
      <c r="F78" s="103"/>
      <c r="G78" s="103"/>
      <c r="H78" s="103"/>
      <c r="I78" s="103"/>
      <c r="J78" s="102"/>
      <c r="K78" s="104" t="s">
        <v>279</v>
      </c>
      <c r="L78" s="337">
        <f>IF(R43&lt;N76,N78,IF(R43&lt;O76,O78,IF(R43&lt;P76,P78,IF(R43&lt;Q76,Q78,IF(R43&lt;R76,R78,IF(R43&lt;S76,S78,IF(R43&lt;T76,T78,IF(R43&lt;U76,U78,IF(R43&lt;V76,V78,IF(R43&lt;W76,W78,IF(R43&lt;X76,X78,"ты охуел?")))))))))))</f>
        <v>8700</v>
      </c>
      <c r="N78" s="329">
        <v>6500</v>
      </c>
      <c r="O78" s="329">
        <v>8700</v>
      </c>
      <c r="P78" s="329">
        <v>10800</v>
      </c>
      <c r="Q78" s="329">
        <v>14900</v>
      </c>
      <c r="R78" s="329">
        <v>16920</v>
      </c>
      <c r="S78" s="329">
        <v>20900</v>
      </c>
      <c r="T78" s="329">
        <v>24400</v>
      </c>
      <c r="U78" s="329">
        <v>26700</v>
      </c>
      <c r="V78" s="330">
        <v>28800</v>
      </c>
      <c r="W78" s="329">
        <v>32000</v>
      </c>
      <c r="X78" s="329">
        <v>36500</v>
      </c>
    </row>
    <row r="79" spans="1:24" x14ac:dyDescent="0.25">
      <c r="E79" s="107"/>
      <c r="F79" s="103"/>
      <c r="G79" s="103"/>
      <c r="H79" s="103"/>
      <c r="I79" s="103"/>
      <c r="J79" s="102"/>
      <c r="K79" s="104" t="s">
        <v>280</v>
      </c>
      <c r="L79" s="119">
        <f>D179*I91</f>
        <v>0</v>
      </c>
    </row>
    <row r="80" spans="1:24" x14ac:dyDescent="0.25">
      <c r="E80" s="102"/>
      <c r="F80" s="103"/>
      <c r="G80" s="103"/>
      <c r="H80" s="103"/>
      <c r="I80" s="103"/>
      <c r="J80" s="102"/>
      <c r="K80" s="104" t="s">
        <v>281</v>
      </c>
      <c r="L80" s="119">
        <f>(K43)*I90</f>
        <v>125.791338</v>
      </c>
    </row>
    <row r="81" spans="1:17" x14ac:dyDescent="0.25">
      <c r="E81" s="102"/>
      <c r="F81" s="103"/>
      <c r="G81" s="103"/>
      <c r="H81" s="103"/>
      <c r="I81" s="103"/>
      <c r="J81" s="102"/>
      <c r="K81" s="104" t="s">
        <v>282</v>
      </c>
      <c r="L81" s="119">
        <f>(D180*(M62))*I92</f>
        <v>0</v>
      </c>
    </row>
    <row r="82" spans="1:17" ht="15.75" x14ac:dyDescent="0.25">
      <c r="E82" s="102"/>
      <c r="F82" s="103"/>
      <c r="G82" s="103"/>
      <c r="H82" s="103"/>
      <c r="I82" s="103"/>
      <c r="J82" s="102"/>
      <c r="K82" s="108" t="s">
        <v>283</v>
      </c>
      <c r="L82" s="119">
        <f>SUM(L75:L81)</f>
        <v>16318.523590000001</v>
      </c>
      <c r="O82" s="327" t="s">
        <v>433</v>
      </c>
      <c r="P82" s="331">
        <v>0.05</v>
      </c>
      <c r="Q82" s="332" t="str">
        <f>IF(Q83&gt;L78,"работа","ПЕРЕБОР со скидкой!!!")</f>
        <v>работа</v>
      </c>
    </row>
    <row r="83" spans="1:17" x14ac:dyDescent="0.25">
      <c r="E83" s="107"/>
      <c r="J83" s="107"/>
      <c r="K83" s="107"/>
      <c r="O83" s="333">
        <f>L82-L82*P82</f>
        <v>15502.5974105</v>
      </c>
      <c r="P83" s="334"/>
      <c r="Q83" s="333">
        <f>O83-L75</f>
        <v>9213.0305105000007</v>
      </c>
    </row>
    <row r="84" spans="1:17" x14ac:dyDescent="0.25">
      <c r="E84" s="107"/>
      <c r="J84" s="107"/>
      <c r="K84" s="110" t="s">
        <v>284</v>
      </c>
    </row>
    <row r="85" spans="1:17" x14ac:dyDescent="0.25">
      <c r="E85" s="107"/>
      <c r="J85" s="107"/>
      <c r="K85" s="105" t="s">
        <v>285</v>
      </c>
      <c r="L85" s="111">
        <f>L75</f>
        <v>6289.5668999999998</v>
      </c>
    </row>
    <row r="86" spans="1:17" ht="15.75" thickBot="1" x14ac:dyDescent="0.3">
      <c r="E86" s="1"/>
      <c r="F86" s="1"/>
      <c r="G86" s="1"/>
      <c r="H86" s="1"/>
      <c r="I86" s="112"/>
      <c r="J86" s="113"/>
      <c r="K86" s="105" t="s">
        <v>286</v>
      </c>
      <c r="L86" s="114">
        <f>SUM(L76:L81)</f>
        <v>10028.956689999999</v>
      </c>
    </row>
    <row r="87" spans="1:17" x14ac:dyDescent="0.25">
      <c r="E87" s="115" t="s">
        <v>288</v>
      </c>
      <c r="F87" s="1"/>
      <c r="G87" s="1"/>
      <c r="H87" s="1"/>
      <c r="I87" s="116">
        <v>0.14000000000000001</v>
      </c>
      <c r="J87" s="7" t="s">
        <v>289</v>
      </c>
      <c r="K87" s="107"/>
    </row>
    <row r="88" spans="1:17" x14ac:dyDescent="0.25">
      <c r="E88" s="115" t="s">
        <v>291</v>
      </c>
      <c r="I88" s="117">
        <v>0.08</v>
      </c>
      <c r="J88" s="8" t="s">
        <v>434</v>
      </c>
      <c r="K88" s="107"/>
    </row>
    <row r="89" spans="1:17" x14ac:dyDescent="0.25">
      <c r="E89" s="115" t="s">
        <v>294</v>
      </c>
      <c r="I89" s="117">
        <v>0.32</v>
      </c>
      <c r="J89" s="8" t="s">
        <v>292</v>
      </c>
      <c r="K89" s="107"/>
    </row>
    <row r="90" spans="1:17" x14ac:dyDescent="0.25">
      <c r="E90" s="115" t="s">
        <v>296</v>
      </c>
      <c r="I90" s="117">
        <v>0.02</v>
      </c>
      <c r="J90" s="8" t="s">
        <v>297</v>
      </c>
      <c r="K90" s="107"/>
    </row>
    <row r="91" spans="1:17" ht="45" x14ac:dyDescent="0.25">
      <c r="E91" s="115" t="s">
        <v>299</v>
      </c>
      <c r="I91" s="117">
        <v>0</v>
      </c>
      <c r="J91" s="335" t="s">
        <v>300</v>
      </c>
      <c r="K91" s="107"/>
    </row>
    <row r="92" spans="1:17" ht="45.75" thickBot="1" x14ac:dyDescent="0.3">
      <c r="E92" s="115" t="s">
        <v>302</v>
      </c>
      <c r="I92" s="118">
        <v>0</v>
      </c>
      <c r="J92" s="336" t="s">
        <v>303</v>
      </c>
      <c r="K92" s="107"/>
    </row>
    <row r="94" spans="1:17" ht="15.75" thickBot="1" x14ac:dyDescent="0.3"/>
    <row r="95" spans="1:17" ht="16.5" thickBot="1" x14ac:dyDescent="0.3">
      <c r="A95" s="244"/>
      <c r="B95" s="286" t="s">
        <v>132</v>
      </c>
      <c r="C95" s="245" t="s">
        <v>133</v>
      </c>
      <c r="D95" s="245" t="s">
        <v>134</v>
      </c>
      <c r="E95" s="246" t="s">
        <v>283</v>
      </c>
      <c r="F95" s="247"/>
      <c r="G95" s="243"/>
    </row>
    <row r="96" spans="1:17" x14ac:dyDescent="0.25">
      <c r="A96" s="253">
        <v>1</v>
      </c>
      <c r="B96" s="254" t="str">
        <f>Расёты!B2</f>
        <v>Корпус ЩМП1 (395х310х220)</v>
      </c>
      <c r="C96" s="255">
        <v>1</v>
      </c>
      <c r="D96" s="326">
        <f>Расёты!G34</f>
        <v>2056</v>
      </c>
      <c r="E96" s="236">
        <f>D96*C96</f>
        <v>2056</v>
      </c>
      <c r="F96" s="257" t="s">
        <v>337</v>
      </c>
      <c r="G96" s="258">
        <f>SUM(E96:E128)</f>
        <v>6289.5668999999998</v>
      </c>
    </row>
    <row r="97" spans="1:7" ht="15.75" thickBot="1" x14ac:dyDescent="0.3">
      <c r="A97" s="260">
        <v>2</v>
      </c>
      <c r="B97" s="254" t="str">
        <f>Расёты!B3</f>
        <v>Блок релейный "БР-2-US-IP00"</v>
      </c>
      <c r="C97" s="255">
        <f>Расёты!H33</f>
        <v>1</v>
      </c>
      <c r="D97" s="342">
        <f>Расёты!I34</f>
        <v>485</v>
      </c>
      <c r="E97" s="261">
        <f>D97*C97</f>
        <v>485</v>
      </c>
      <c r="F97" s="262" t="s">
        <v>338</v>
      </c>
      <c r="G97" s="263">
        <f>Расёты!L86</f>
        <v>10028.956689999999</v>
      </c>
    </row>
    <row r="98" spans="1:7" ht="26.25" thickBot="1" x14ac:dyDescent="0.3">
      <c r="A98" s="260">
        <v>3</v>
      </c>
      <c r="B98" s="254" t="str">
        <f>Расёты!B4</f>
        <v>Контактор КМ-103 9А катушка управления 220В AC</v>
      </c>
      <c r="C98" s="255">
        <f>Расёты!J33</f>
        <v>1</v>
      </c>
      <c r="D98" s="256">
        <f>Расёты!K34</f>
        <v>466.84</v>
      </c>
      <c r="E98" s="236">
        <f>D98*C98</f>
        <v>466.84</v>
      </c>
      <c r="F98" s="265" t="s">
        <v>339</v>
      </c>
      <c r="G98" s="266">
        <f>Изделие!E1-SUM(G96:G97)</f>
        <v>0</v>
      </c>
    </row>
    <row r="99" spans="1:7" x14ac:dyDescent="0.25">
      <c r="A99" s="260">
        <v>4</v>
      </c>
      <c r="B99" s="254" t="str">
        <f>Расёты!B5</f>
        <v/>
      </c>
      <c r="C99" s="255" t="str">
        <f>Расёты!L33</f>
        <v/>
      </c>
      <c r="D99" s="256" t="str">
        <f>Расёты!M34</f>
        <v/>
      </c>
      <c r="E99" s="261">
        <f>IF(B99="",0,(D99*C99))</f>
        <v>0</v>
      </c>
      <c r="F99" s="243"/>
      <c r="G99" s="243"/>
    </row>
    <row r="100" spans="1:7" ht="38.25" x14ac:dyDescent="0.25">
      <c r="A100" s="260">
        <v>5</v>
      </c>
      <c r="B100" s="254" t="str">
        <f>Расёты!B6</f>
        <v>Выключатель автоматический однополюсный 1А С ВА-101 4.5кА (11049DEK)</v>
      </c>
      <c r="C100" s="255">
        <f>Расёты!N33</f>
        <v>1</v>
      </c>
      <c r="D100" s="256">
        <f>Расёты!O34</f>
        <v>134.94</v>
      </c>
      <c r="E100" s="236">
        <f>D100*C100</f>
        <v>134.94</v>
      </c>
      <c r="F100" s="243"/>
      <c r="G100" s="243"/>
    </row>
    <row r="101" spans="1:7" ht="38.25" x14ac:dyDescent="0.25">
      <c r="A101" s="260">
        <v>6</v>
      </c>
      <c r="B101" s="254" t="str">
        <f>Расёты!B7</f>
        <v>Выключатель автоматический однополюсный 1А С ВА-101 4.5кА (11049DEK)</v>
      </c>
      <c r="C101" s="255">
        <f>Расёты!P33</f>
        <v>1</v>
      </c>
      <c r="D101" s="256">
        <f>Расёты!Q34</f>
        <v>160.07</v>
      </c>
      <c r="E101" s="236">
        <f>D101*C101</f>
        <v>160.07</v>
      </c>
      <c r="F101" s="243"/>
      <c r="G101" s="243"/>
    </row>
    <row r="102" spans="1:7" ht="76.5" x14ac:dyDescent="0.25">
      <c r="A102" s="260">
        <v>7</v>
      </c>
      <c r="B102" s="254" t="str">
        <f>Расёты!B8</f>
        <v>Реле промышленное миниатюрное; монтаж в колодку; Контакты: 4CO (AgNi), напряжение 230В AC, номинальный ток 6А, опции: кнопка тест + мех.индикатор. R4N-2014-23-5230-WT</v>
      </c>
      <c r="C102" s="255">
        <f>Расёты!R33</f>
        <v>1</v>
      </c>
      <c r="D102" s="256">
        <f>Расёты!S34</f>
        <v>224</v>
      </c>
      <c r="E102" s="236">
        <f>D102*C102</f>
        <v>224</v>
      </c>
      <c r="F102" s="243"/>
      <c r="G102" s="243"/>
    </row>
    <row r="103" spans="1:7" x14ac:dyDescent="0.25">
      <c r="A103" s="260"/>
      <c r="B103" s="254"/>
      <c r="C103" s="255"/>
      <c r="D103" s="256"/>
      <c r="E103" s="236"/>
      <c r="F103" s="243"/>
      <c r="G103" s="243"/>
    </row>
    <row r="104" spans="1:7" x14ac:dyDescent="0.25">
      <c r="A104" s="260"/>
      <c r="B104" s="254"/>
      <c r="C104" s="255"/>
      <c r="D104" s="256"/>
      <c r="E104" s="236"/>
      <c r="F104" s="243"/>
      <c r="G104" s="243"/>
    </row>
    <row r="105" spans="1:7" x14ac:dyDescent="0.25">
      <c r="A105" s="260"/>
      <c r="B105" s="254"/>
      <c r="C105" s="255"/>
      <c r="D105" s="256"/>
      <c r="E105" s="236"/>
      <c r="F105" s="243"/>
      <c r="G105" s="243"/>
    </row>
    <row r="106" spans="1:7" x14ac:dyDescent="0.25">
      <c r="A106" s="260"/>
      <c r="B106" s="254"/>
      <c r="C106" s="255"/>
      <c r="D106" s="256"/>
      <c r="E106" s="236"/>
      <c r="F106" s="243"/>
      <c r="G106" s="243"/>
    </row>
    <row r="107" spans="1:7" x14ac:dyDescent="0.25">
      <c r="A107" s="260"/>
      <c r="B107" s="254"/>
      <c r="C107" s="255"/>
      <c r="D107" s="256"/>
      <c r="E107" s="236"/>
      <c r="F107" s="243"/>
      <c r="G107" s="243"/>
    </row>
    <row r="108" spans="1:7" ht="51" x14ac:dyDescent="0.25">
      <c r="A108" s="260">
        <v>8</v>
      </c>
      <c r="B108" s="254" t="str">
        <f>Расёты!B9</f>
        <v>Колодка с винтовыми зажимами (75*27*61мм) для реле серии R4N, T-R4;
цвет серый. GZM4-gray</v>
      </c>
      <c r="C108" s="255">
        <f>Расёты!T33</f>
        <v>1</v>
      </c>
      <c r="D108" s="256">
        <f>Расёты!U34</f>
        <v>159</v>
      </c>
      <c r="E108" s="236">
        <f>D108*C108</f>
        <v>159</v>
      </c>
      <c r="F108" s="243"/>
      <c r="G108" s="243"/>
    </row>
    <row r="109" spans="1:7" ht="51" x14ac:dyDescent="0.25">
      <c r="A109" s="260">
        <v>9</v>
      </c>
      <c r="B109" s="254" t="str">
        <f>Расёты!B10</f>
        <v>Фиксатор металлический для реле R2N, R3N, R4N для колодок GZM2,
GZT2, GZM3, GZT3, GZM4, GZT4, GZMB4, GZ4, GZP4. G4 1052</v>
      </c>
      <c r="C109" s="255">
        <f>Расёты!V33</f>
        <v>1</v>
      </c>
      <c r="D109" s="256">
        <f>Расёты!W34</f>
        <v>11</v>
      </c>
      <c r="E109" s="236">
        <f>D109*C109</f>
        <v>11</v>
      </c>
      <c r="F109" s="243"/>
      <c r="G109" s="243"/>
    </row>
    <row r="110" spans="1:7" ht="89.25" x14ac:dyDescent="0.25">
      <c r="A110" s="260">
        <v>10</v>
      </c>
      <c r="B110" s="254" t="str">
        <f>Расёты!B11</f>
        <v>Реле миниатюрное электромеханическое низкопрофильное, Контакты: 2CO (AgNi), напряжение 230В AC, номинальный ток 8А, прозрачный корпус, IP40, RTII. RM84-2012-25-5230-RUS</v>
      </c>
      <c r="C110" s="255">
        <f>Расёты!X33</f>
        <v>2</v>
      </c>
      <c r="D110" s="256">
        <f>Расёты!Y34</f>
        <v>170</v>
      </c>
      <c r="E110" s="236">
        <f>D110*C110</f>
        <v>340</v>
      </c>
      <c r="F110" s="243"/>
      <c r="G110" s="243"/>
    </row>
    <row r="111" spans="1:7" ht="63.75" x14ac:dyDescent="0.25">
      <c r="A111" s="260">
        <v>11</v>
      </c>
      <c r="B111" s="269" t="str">
        <f>Расёты!B12</f>
        <v>Колодка с винтовыми зажимами для реле серии RM84, RM85,RM87L/P; цвет серый ( в комплекте шильдик маркировочный GZT80-0035). GZM80-gray</v>
      </c>
      <c r="C111" s="270">
        <f>Расёты!Z33</f>
        <v>2</v>
      </c>
      <c r="D111" s="271">
        <f>Расёты!D12</f>
        <v>113</v>
      </c>
      <c r="E111" s="236">
        <f>D111*C111</f>
        <v>226</v>
      </c>
      <c r="F111" s="243"/>
      <c r="G111" s="243"/>
    </row>
    <row r="112" spans="1:7" x14ac:dyDescent="0.25">
      <c r="A112" s="69"/>
      <c r="B112" s="69"/>
      <c r="C112" s="69"/>
      <c r="D112" s="69"/>
      <c r="E112" s="69"/>
      <c r="F112" s="243"/>
      <c r="G112" s="243"/>
    </row>
    <row r="113" spans="1:7" x14ac:dyDescent="0.25">
      <c r="A113" s="248"/>
      <c r="B113" s="248"/>
      <c r="C113" s="248"/>
      <c r="D113" s="248"/>
      <c r="E113" s="248"/>
      <c r="F113" s="243"/>
      <c r="G113" s="243"/>
    </row>
    <row r="114" spans="1:7" ht="51.75" x14ac:dyDescent="0.25">
      <c r="A114" s="273">
        <v>12</v>
      </c>
      <c r="B114" s="274" t="str">
        <f>Расёты!B13</f>
        <v>Фиксатор металлический для реле RM84, RM85, RM87, для колодок GZT80, GZM80, GZF80, GZT92, GZM92. GZM80-0041</v>
      </c>
      <c r="C114" s="270">
        <f>Расёты!AB33</f>
        <v>2</v>
      </c>
      <c r="D114" s="271">
        <f>Расёты!D13</f>
        <v>11</v>
      </c>
      <c r="E114" s="236">
        <f t="shared" ref="E114:E128" si="2">D114*C114</f>
        <v>22</v>
      </c>
      <c r="F114" s="243"/>
      <c r="G114" s="243"/>
    </row>
    <row r="115" spans="1:7" ht="26.25" x14ac:dyDescent="0.25">
      <c r="A115" s="273">
        <v>13</v>
      </c>
      <c r="B115" s="274" t="str">
        <f>Расёты!B14</f>
        <v>304130, Клеммник на DIN-рейку 4мм.кв. (серый); AVK4 (упак 100 шт)</v>
      </c>
      <c r="C115" s="270">
        <f>Расёты!AD33</f>
        <v>1</v>
      </c>
      <c r="D115" s="271">
        <f>Расёты!D14</f>
        <v>31.54975</v>
      </c>
      <c r="E115" s="236">
        <f t="shared" si="2"/>
        <v>31.54975</v>
      </c>
      <c r="F115" s="243"/>
      <c r="G115" s="243"/>
    </row>
    <row r="116" spans="1:7" ht="26.25" x14ac:dyDescent="0.25">
      <c r="A116" s="273">
        <v>14</v>
      </c>
      <c r="B116" s="274" t="str">
        <f>Расёты!B15</f>
        <v>304131, Клеммник на DIN-рейку 4мм.кв. (синий); AVK4 (упак 100 шт)</v>
      </c>
      <c r="C116" s="270">
        <f>Расёты!AF33</f>
        <v>1</v>
      </c>
      <c r="D116" s="271">
        <f>Расёты!D15</f>
        <v>31.54975</v>
      </c>
      <c r="E116" s="236">
        <f t="shared" si="2"/>
        <v>31.54975</v>
      </c>
      <c r="F116" s="243"/>
      <c r="G116" s="243"/>
    </row>
    <row r="117" spans="1:7" ht="39" x14ac:dyDescent="0.25">
      <c r="A117" s="273">
        <v>15</v>
      </c>
      <c r="B117" s="274" t="str">
        <f>Расёты!B16</f>
        <v>334120, Клеммник на DIN-рейку 4 мм.кв., (земля); AVK2,5/4T (упак 50 шт)</v>
      </c>
      <c r="C117" s="270">
        <f>Расёты!AH33</f>
        <v>1</v>
      </c>
      <c r="D117" s="271">
        <f>Расёты!D16</f>
        <v>111.63760000000001</v>
      </c>
      <c r="E117" s="236">
        <f t="shared" si="2"/>
        <v>111.63760000000001</v>
      </c>
      <c r="F117" s="243"/>
      <c r="G117" s="243"/>
    </row>
    <row r="118" spans="1:7" ht="39" x14ac:dyDescent="0.25">
      <c r="A118" s="273">
        <v>16</v>
      </c>
      <c r="B118" s="275" t="str">
        <f>Расёты!B17</f>
        <v>304120, Клеммник на DIN-рейку 2,5мм.кв. (серый); AVK2,5 (упак 100 шт)</v>
      </c>
      <c r="C118" s="270">
        <f>Расёты!AJ33</f>
        <v>6</v>
      </c>
      <c r="D118" s="271">
        <f>Расёты!D17</f>
        <v>27.909400000000002</v>
      </c>
      <c r="E118" s="236">
        <f t="shared" si="2"/>
        <v>167.4564</v>
      </c>
      <c r="F118" s="243"/>
      <c r="G118" s="243"/>
    </row>
    <row r="119" spans="1:7" ht="39" x14ac:dyDescent="0.25">
      <c r="A119" s="273">
        <v>17</v>
      </c>
      <c r="B119" s="274" t="str">
        <f>Расёты!B18</f>
        <v>304121, Клеммник на DIN-рейку 2,5мм.кв. (синий); AVK2,5 (упак 100 шт)</v>
      </c>
      <c r="C119" s="270">
        <f>Расёты!AL33</f>
        <v>3</v>
      </c>
      <c r="D119" s="271">
        <f>Расёты!D18</f>
        <v>27.909400000000002</v>
      </c>
      <c r="E119" s="236">
        <f t="shared" si="2"/>
        <v>83.728200000000001</v>
      </c>
      <c r="F119" s="243"/>
      <c r="G119" s="243"/>
    </row>
    <row r="120" spans="1:7" ht="39" x14ac:dyDescent="0.25">
      <c r="A120" s="273">
        <v>18</v>
      </c>
      <c r="B120" s="274" t="str">
        <f>Расёты!AP34</f>
        <v>304120, Клеммник на DIN-рейку 2,5мм.кв. (серый); AVK2,5 (упак 100 шт)</v>
      </c>
      <c r="C120" s="270">
        <f>Расёты!AN33</f>
        <v>0</v>
      </c>
      <c r="D120" s="271">
        <f>Расёты!D19</f>
        <v>27.909400000000002</v>
      </c>
      <c r="E120" s="236">
        <f t="shared" si="2"/>
        <v>0</v>
      </c>
      <c r="F120" s="243"/>
      <c r="G120" s="243"/>
    </row>
    <row r="121" spans="1:7" ht="39" x14ac:dyDescent="0.25">
      <c r="A121" s="273">
        <v>19</v>
      </c>
      <c r="B121" s="274" t="str">
        <f>Расёты!B20</f>
        <v>304120, Клеммник на DIN-рейку 2,5мм.кв. (серый); AVK2,5 (упак 100 шт)</v>
      </c>
      <c r="C121" s="270">
        <f>Расёты!AP33</f>
        <v>2</v>
      </c>
      <c r="D121" s="271">
        <f>Расёты!D20</f>
        <v>27.909400000000002</v>
      </c>
      <c r="E121" s="236">
        <f t="shared" si="2"/>
        <v>55.818800000000003</v>
      </c>
      <c r="F121" s="243"/>
      <c r="G121" s="243"/>
    </row>
    <row r="122" spans="1:7" ht="39" x14ac:dyDescent="0.25">
      <c r="A122" s="273">
        <v>20</v>
      </c>
      <c r="B122" s="274" t="str">
        <f>Расёты!B21</f>
        <v>304120, Клеммник на DIN-рейку 2,5мм.кв. (серый); AVK2,5 (упак 100 шт)</v>
      </c>
      <c r="C122" s="270">
        <f>Расёты!AR33</f>
        <v>6</v>
      </c>
      <c r="D122" s="271">
        <f>Расёты!D21</f>
        <v>27.909400000000002</v>
      </c>
      <c r="E122" s="236">
        <f t="shared" si="2"/>
        <v>167.4564</v>
      </c>
      <c r="F122" s="243"/>
      <c r="G122" s="243"/>
    </row>
    <row r="123" spans="1:7" x14ac:dyDescent="0.25">
      <c r="A123" s="273">
        <v>21</v>
      </c>
      <c r="B123" s="274" t="str">
        <f>Расёты!B22</f>
        <v>Лампа ADDS 22мм зеленая LED 220В</v>
      </c>
      <c r="C123" s="270">
        <f>Расёты!AT33</f>
        <v>1</v>
      </c>
      <c r="D123" s="271">
        <f>Расёты!D22</f>
        <v>93.7</v>
      </c>
      <c r="E123" s="236">
        <f t="shared" si="2"/>
        <v>93.7</v>
      </c>
      <c r="F123" s="243"/>
      <c r="G123" s="243"/>
    </row>
    <row r="124" spans="1:7" x14ac:dyDescent="0.25">
      <c r="A124" s="273">
        <v>22</v>
      </c>
      <c r="B124" s="274" t="str">
        <f>Расёты!AV34</f>
        <v>Лампа ADDS 22мм красная LED 220В</v>
      </c>
      <c r="C124" s="270">
        <f>Расёты!AV33</f>
        <v>1</v>
      </c>
      <c r="D124" s="276">
        <f>Расёты!AW34</f>
        <v>93.7</v>
      </c>
      <c r="E124" s="236">
        <f t="shared" si="2"/>
        <v>93.7</v>
      </c>
      <c r="F124" s="243"/>
      <c r="G124" s="243"/>
    </row>
    <row r="125" spans="1:7" x14ac:dyDescent="0.25">
      <c r="A125" s="273">
        <v>23</v>
      </c>
      <c r="B125" s="274" t="str">
        <f>Расёты!AX34</f>
        <v>Лампа ADDS 22мм желтая LED 220В</v>
      </c>
      <c r="C125" s="270">
        <f>Расёты!AX33</f>
        <v>2</v>
      </c>
      <c r="D125" s="276">
        <f>Расёты!AY34</f>
        <v>91.15</v>
      </c>
      <c r="E125" s="236">
        <f t="shared" si="2"/>
        <v>182.3</v>
      </c>
      <c r="F125" s="243"/>
      <c r="G125" s="243"/>
    </row>
    <row r="126" spans="1:7" ht="26.25" x14ac:dyDescent="0.25">
      <c r="A126" s="273">
        <v>24</v>
      </c>
      <c r="B126" s="274" t="str">
        <f>Расёты!AZ34</f>
        <v>Переключатель AKS-2 22мм с ключом 2 позиции I-O черная ручка</v>
      </c>
      <c r="C126" s="270">
        <f>Расёты!AZ33</f>
        <v>1</v>
      </c>
      <c r="D126" s="276">
        <f>Расёты!BA34</f>
        <v>228.78</v>
      </c>
      <c r="E126" s="236">
        <f t="shared" si="2"/>
        <v>228.78</v>
      </c>
      <c r="F126" s="243"/>
      <c r="G126" s="243"/>
    </row>
    <row r="127" spans="1:7" ht="26.25" x14ac:dyDescent="0.25">
      <c r="A127" s="273">
        <v>25</v>
      </c>
      <c r="B127" s="274" t="str">
        <f>Расёты!BB34</f>
        <v>Перекл. на 2 пол. I-O удлинн. ручка (1НО+1НЗ) ALCR</v>
      </c>
      <c r="C127" s="270">
        <f>Расёты!BB33</f>
        <v>1</v>
      </c>
      <c r="D127" s="276">
        <f>Расёты!BC34</f>
        <v>257.04000000000002</v>
      </c>
      <c r="E127" s="236">
        <f t="shared" si="2"/>
        <v>257.04000000000002</v>
      </c>
      <c r="F127" s="243"/>
      <c r="G127" s="243"/>
    </row>
    <row r="128" spans="1:7" ht="15.75" thickBot="1" x14ac:dyDescent="0.3">
      <c r="A128" s="277">
        <v>26</v>
      </c>
      <c r="B128" s="278" t="str">
        <f>Расёты!BD34</f>
        <v>Метизы и расходные материалы</v>
      </c>
      <c r="C128" s="279">
        <f>Расёты!BD33</f>
        <v>1</v>
      </c>
      <c r="D128" s="280">
        <f>Расёты!BE34</f>
        <v>500</v>
      </c>
      <c r="E128" s="281">
        <f t="shared" si="2"/>
        <v>500</v>
      </c>
      <c r="F128" s="243"/>
      <c r="G128" s="243"/>
    </row>
    <row r="140" spans="5:197" s="1" customFormat="1" ht="12.75" customHeight="1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</row>
    <row r="149" ht="15.75" customHeight="1" x14ac:dyDescent="0.25"/>
    <row r="164" spans="1:4" x14ac:dyDescent="0.25">
      <c r="A164" s="97"/>
      <c r="B164" s="103"/>
      <c r="C164" s="103"/>
      <c r="D164" s="103"/>
    </row>
    <row r="165" spans="1:4" x14ac:dyDescent="0.25">
      <c r="A165" s="106"/>
      <c r="B165" s="1"/>
      <c r="C165" s="103"/>
      <c r="D165" s="103"/>
    </row>
    <row r="166" spans="1:4" x14ac:dyDescent="0.25">
      <c r="A166" s="106"/>
      <c r="B166" s="1"/>
      <c r="C166" s="103"/>
      <c r="D166" s="103"/>
    </row>
    <row r="167" spans="1:4" x14ac:dyDescent="0.25">
      <c r="A167" s="106"/>
      <c r="B167" s="103"/>
      <c r="C167" s="103"/>
    </row>
    <row r="168" spans="1:4" x14ac:dyDescent="0.25">
      <c r="A168" s="106"/>
      <c r="B168" s="103"/>
      <c r="C168" s="103"/>
      <c r="D168" s="103"/>
    </row>
    <row r="169" spans="1:4" x14ac:dyDescent="0.25">
      <c r="A169" s="106"/>
      <c r="B169" s="103"/>
      <c r="C169" s="103"/>
      <c r="D169" s="103"/>
    </row>
    <row r="170" spans="1:4" x14ac:dyDescent="0.25">
      <c r="A170" s="103"/>
      <c r="B170" s="103"/>
      <c r="C170" s="103"/>
      <c r="D170" s="103"/>
    </row>
    <row r="171" spans="1:4" x14ac:dyDescent="0.25">
      <c r="B171" s="109"/>
    </row>
    <row r="174" spans="1:4" x14ac:dyDescent="0.25">
      <c r="C174" s="1"/>
      <c r="D174" s="1"/>
    </row>
    <row r="175" spans="1:4" x14ac:dyDescent="0.25">
      <c r="B175" s="101" t="s">
        <v>287</v>
      </c>
      <c r="C175" s="1"/>
      <c r="D175" s="1">
        <v>5000</v>
      </c>
    </row>
    <row r="176" spans="1:4" x14ac:dyDescent="0.25">
      <c r="B176" s="101" t="s">
        <v>290</v>
      </c>
      <c r="C176" s="1"/>
      <c r="D176" s="1"/>
    </row>
    <row r="177" spans="2:4" x14ac:dyDescent="0.25">
      <c r="B177" s="101" t="s">
        <v>293</v>
      </c>
      <c r="C177" s="1"/>
      <c r="D177" s="1"/>
    </row>
    <row r="178" spans="2:4" x14ac:dyDescent="0.25">
      <c r="B178" s="101" t="s">
        <v>295</v>
      </c>
      <c r="C178" s="1"/>
      <c r="D178" s="1"/>
    </row>
    <row r="179" spans="2:4" x14ac:dyDescent="0.25">
      <c r="B179" s="101" t="s">
        <v>298</v>
      </c>
      <c r="C179" s="1"/>
      <c r="D179" s="1">
        <v>2000</v>
      </c>
    </row>
    <row r="180" spans="2:4" ht="30" x14ac:dyDescent="0.25">
      <c r="B180" s="101" t="s">
        <v>301</v>
      </c>
      <c r="C180" s="1"/>
      <c r="D180" s="1">
        <v>1000</v>
      </c>
    </row>
  </sheetData>
  <sheetProtection algorithmName="SHA-512" hashValue="A1zFLw1xYZeJn8jyVgB+h/YEX69JTLDWT6nsrxrTBib9RHNLMeIFhK7Wsw6M5gk2QntUHZb9+uwSEA+BCkjW4A==" saltValue="ykmS+6702ZlvwvrKF+PQjA==" spinCount="100000" sheet="1" objects="1" scenarios="1"/>
  <mergeCells count="24">
    <mergeCell ref="AF53:AG53"/>
    <mergeCell ref="E1:E2"/>
    <mergeCell ref="E23:E33"/>
    <mergeCell ref="E3:E18"/>
    <mergeCell ref="P37:R37"/>
    <mergeCell ref="U37:V37"/>
    <mergeCell ref="P38:R38"/>
    <mergeCell ref="U38:V38"/>
    <mergeCell ref="P39:R39"/>
    <mergeCell ref="U39:V39"/>
    <mergeCell ref="I36:K36"/>
    <mergeCell ref="I37:K37"/>
    <mergeCell ref="I38:K38"/>
    <mergeCell ref="I40:K40"/>
    <mergeCell ref="I39:K39"/>
    <mergeCell ref="S43:Y43"/>
    <mergeCell ref="N77:X77"/>
    <mergeCell ref="N75:X75"/>
    <mergeCell ref="H36:H41"/>
    <mergeCell ref="A63:A64"/>
    <mergeCell ref="P53:Q53"/>
    <mergeCell ref="A54:A56"/>
    <mergeCell ref="A57:A59"/>
    <mergeCell ref="A60:A62"/>
  </mergeCells>
  <phoneticPr fontId="1" type="noConversion"/>
  <hyperlinks>
    <hyperlink ref="B52" r:id="rId1" display="https://ipro.etm.ru/cat/descsc.html?nn=9810729&amp;st=11" xr:uid="{00000000-0004-0000-0100-000000000000}"/>
    <hyperlink ref="B71" r:id="rId2" display="https://ipro.etm.ru/cat/descsc.html?nn=9811250&amp;st=11" xr:uid="{00000000-0004-0000-0100-000001000000}"/>
    <hyperlink ref="B72" r:id="rId3" display="https://ipro.etm.ru/cat/descsc.html?nn=8819861&amp;st=11" xr:uid="{00000000-0004-0000-0100-000002000000}"/>
    <hyperlink ref="B51" r:id="rId4" display="https://ipro.etm.ru/cat/descsc.html?nn=9810730&amp;st=11" xr:uid="{00000000-0004-0000-0100-000003000000}"/>
    <hyperlink ref="B50" r:id="rId5" xr:uid="{00000000-0004-0000-0100-000004000000}"/>
    <hyperlink ref="B60" r:id="rId6" display="https://www.klemsan.spb.ru/Klemmy/screw-clamps/304130" xr:uid="{00000000-0004-0000-0100-000005000000}"/>
    <hyperlink ref="B61" r:id="rId7" display="https://www.klemsan.spb.ru/Klemmy/screw-clamps/304131" xr:uid="{00000000-0004-0000-0100-000006000000}"/>
    <hyperlink ref="B62" r:id="rId8" display="https://www.klemsan.spb.ru/334120?search=%D0%B7%D0%B5%D0%BC%D0%BB%D1%8F" xr:uid="{00000000-0004-0000-0100-000007000000}"/>
    <hyperlink ref="B63:B64" r:id="rId9" display="https://www.klemsan.spb.ru/304120?search=304120" xr:uid="{00000000-0004-0000-0100-000008000000}"/>
    <hyperlink ref="B63" r:id="rId10" display="https://www.klemsan.spb.ru/304120?search=304120" xr:uid="{00000000-0004-0000-0100-000009000000}"/>
    <hyperlink ref="B64" r:id="rId11" display="https://www.klemsan.spb.ru/Klemmy/screw-clamps/304121" xr:uid="{00000000-0004-0000-0100-00000A000000}"/>
    <hyperlink ref="B65" r:id="rId12" display="https://www.klemsan.spb.ru/304120?search=304120" xr:uid="{00000000-0004-0000-0100-00000B000000}"/>
    <hyperlink ref="B66" r:id="rId13" display="https://www.klemsan.spb.ru/304120?search=304120" xr:uid="{00000000-0004-0000-0100-00000C000000}"/>
    <hyperlink ref="B67" r:id="rId14" display="https://www.klemsan.spb.ru/304120?search=304120" xr:uid="{00000000-0004-0000-0100-00000D000000}"/>
    <hyperlink ref="B70" r:id="rId15" display="https://ipro.etm.ru/cat/descsc.html?nn=9811201&amp;st=11" xr:uid="{00000000-0004-0000-0100-00000E000000}"/>
    <hyperlink ref="B69" r:id="rId16" display="https://ipro.etm.ru/cat/descsc.html?nn=9811200&amp;st=11" xr:uid="{00000000-0004-0000-0100-00000F000000}"/>
    <hyperlink ref="B68" r:id="rId17" display="https://ipro.etm.ru/cat/descsc.html?nn=9811199&amp;st=11" xr:uid="{00000000-0004-0000-0100-000010000000}"/>
    <hyperlink ref="R58" r:id="rId18" display="https://ipro.etm.ru/cat/descsc.html?nn=9810734&amp;st=11" xr:uid="{00000000-0004-0000-0100-000011000000}"/>
    <hyperlink ref="R57" r:id="rId19" display="https://ipro.etm.ru/cat/descsc.html?nn=9810735&amp;st=11" xr:uid="{00000000-0004-0000-0100-000012000000}"/>
    <hyperlink ref="R56" r:id="rId20" display="https://ipro.etm.ru/cat/descsc.html?nn=9810736&amp;st=11" xr:uid="{00000000-0004-0000-0100-000013000000}"/>
    <hyperlink ref="R55" r:id="rId21" display="https://ipro.etm.ru/cat/descsc.html?nn=9810737&amp;st=11" xr:uid="{00000000-0004-0000-0100-000014000000}"/>
    <hyperlink ref="R63" r:id="rId22" display="https://ipro.etm.ru/cat/descsc.html?nn=9810729&amp;st=11" xr:uid="{00000000-0004-0000-0100-000015000000}"/>
    <hyperlink ref="R61" r:id="rId23" xr:uid="{00000000-0004-0000-0100-000016000000}"/>
    <hyperlink ref="R62" r:id="rId24" display="https://ipro.etm.ru/cat/descsc.html?nn=9810730&amp;st=11" xr:uid="{00000000-0004-0000-0100-000017000000}"/>
    <hyperlink ref="R60" r:id="rId25" display="https://ipro.etm.ru/cat/descsc.html?nn=9810732&amp;st=11" xr:uid="{00000000-0004-0000-0100-000018000000}"/>
    <hyperlink ref="R59" r:id="rId26" display="https://ipro.etm.ru/cat/descsc.html?nn=9810733&amp;st=11" xr:uid="{00000000-0004-0000-0100-000019000000}"/>
    <hyperlink ref="P40" r:id="rId27" display="https://ipro.etm.ru/cat/descsc.html?nn=2996028&amp;st=11" xr:uid="{00000000-0004-0000-0100-00001A000000}"/>
    <hyperlink ref="S40" r:id="rId28" display="https://ipro.etm.ru/cat/descsc.html?nn=4521246&amp;st=11" xr:uid="{00000000-0004-0000-0100-00001B000000}"/>
    <hyperlink ref="T40" r:id="rId29" display="https://ipro.etm.ru/cat/descsc.html?nn=1256427&amp;st=11" xr:uid="{00000000-0004-0000-0100-00001C000000}"/>
    <hyperlink ref="U40" r:id="rId30" display="https://ipro.etm.ru/cat/descsc.html?nn=8789452&amp;st=11" xr:uid="{00000000-0004-0000-0100-00001D000000}"/>
  </hyperlinks>
  <pageMargins left="0.7" right="0.7" top="0.75" bottom="0.75" header="0.3" footer="0.3"/>
  <pageSetup paperSize="9" orientation="portrait" horizontalDpi="300" verticalDpi="300" r:id="rId31"/>
  <legacy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Изделие</vt:lpstr>
      <vt:lpstr>Расёты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Filinsky SV</dc:creator>
  <cp:lastModifiedBy>Submarine</cp:lastModifiedBy>
  <dcterms:created xsi:type="dcterms:W3CDTF">2015-06-05T18:19:34Z</dcterms:created>
  <dcterms:modified xsi:type="dcterms:W3CDTF">2022-07-27T08:11:24Z</dcterms:modified>
</cp:coreProperties>
</file>